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<sst xmlns="http://schemas.openxmlformats.org/spreadsheetml/2006/main" count="28" uniqueCount="28">
  <si>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编号</t>
  </si>
  <si>
    <t>姓名</t>
  </si>
  <si>
    <t>性别</t>
  </si>
  <si>
    <t>民族</t>
  </si>
  <si>
    <t>籍贯</t>
  </si>
  <si>
    <t>出生年月</t>
  </si>
  <si>
    <t>政治面貌</t>
  </si>
  <si>
    <t>身份证号</t>
  </si>
  <si>
    <t>毕业学校</t>
  </si>
  <si>
    <t>专业</t>
  </si>
  <si>
    <t>学历学位</t>
  </si>
  <si>
    <t>联系电话</t>
  </si>
  <si>
    <t>地区名称</t>
  </si>
  <si>
    <t>家庭地址</t>
  </si>
  <si>
    <t>电子邮箱</t>
  </si>
  <si>
    <t>工作时间</t>
  </si>
  <si>
    <t>毕业时间</t>
  </si>
  <si>
    <t>是否师范类</t>
  </si>
  <si>
    <t>教师资格种类</t>
  </si>
  <si>
    <t>教师资格证号</t>
  </si>
  <si>
    <t>毕业证号</t>
  </si>
  <si>
    <t>任教学段</t>
  </si>
  <si>
    <t>任教科目</t>
  </si>
  <si>
    <t>审批结果</t>
  </si>
  <si>
    <t>.159"</t>
  </si>
  <si>
    <t>."</t>
  </si>
  <si>
    <t>tao4909long58"</t>
  </si>
  <si>
    <r>
      <t>隆林各族自治县2017年特岗教师网上报名审查通过人员名单390名（</t>
    </r>
    <r>
      <rPr>
        <b/>
        <sz val="20"/>
        <color indexed="10"/>
        <rFont val="黑体"/>
        <family val="3"/>
      </rPr>
      <t>请各位考生于2017年7月10-14日带各种原件到隆林各族自治县教育局人事股审查，现场审查合格后才安排面试</t>
    </r>
    <r>
      <rPr>
        <b/>
        <sz val="20"/>
        <rFont val="黑体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</si>
</sst>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20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2"/>
  <sheetViews>
    <sheetView tabSelected="1" zoomScalePageLayoutView="0" workbookViewId="0" topLeftCell="E1">
      <selection activeCell="Y3" sqref="Y3"/>
    </sheetView>
  </sheetViews>
  <sheetFormatPr defaultColWidth="9.00390625" defaultRowHeight="14.25"/>
  <cols>
    <col min="1" max="1" width="5.375" style="0" customWidth="1"/>
    <col min="2" max="2" width="7.75390625" style="0" customWidth="1"/>
    <col min="3" max="3" width="5.25390625" style="0" customWidth="1"/>
    <col min="4" max="4" width="5.00390625" style="0" customWidth="1"/>
    <col min="5" max="5" width="6.875" style="0" customWidth="1"/>
    <col min="6" max="6" width="6.50390625" style="0" customWidth="1"/>
    <col min="7" max="7" width="5.25390625" style="0" customWidth="1"/>
    <col min="10" max="10" width="6.125" style="0" customWidth="1"/>
    <col min="11" max="11" width="5.25390625" style="0" customWidth="1"/>
    <col min="12" max="12" width="5.875" style="0" customWidth="1"/>
    <col min="13" max="13" width="6.50390625" style="0" customWidth="1"/>
    <col min="16" max="16" width="5.375" style="0" customWidth="1"/>
    <col min="17" max="17" width="6.125" style="0" customWidth="1"/>
    <col min="18" max="18" width="6.00390625" style="0" customWidth="1"/>
    <col min="19" max="19" width="7.50390625" style="0" customWidth="1"/>
    <col min="20" max="20" width="8.25390625" style="0" customWidth="1"/>
    <col min="21" max="21" width="5.625" style="0" customWidth="1"/>
    <col min="22" max="22" width="5.375" style="0" customWidth="1"/>
    <col min="23" max="23" width="5.50390625" style="0" customWidth="1"/>
    <col min="24" max="24" width="5.75390625" style="0" customWidth="1"/>
  </cols>
  <sheetData>
    <row r="1" spans="1:24" ht="93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2" customFormat="1" ht="6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</row>
    <row r="3" spans="1:24" s="1" customFormat="1" ht="90" customHeight="1">
      <c r="A3" s="4" t="str">
        <f>"1"</f>
        <v>1</v>
      </c>
      <c r="B3" s="4" t="str">
        <f>"邓治艳"</f>
        <v>邓治艳</v>
      </c>
      <c r="C3" s="4" t="str">
        <f>"女        "</f>
        <v>女        </v>
      </c>
      <c r="D3" s="4" t="str">
        <f>"汉族"</f>
        <v>汉族</v>
      </c>
      <c r="E3" s="4" t="str">
        <f>"贵州省安龙县"</f>
        <v>贵州省安龙县</v>
      </c>
      <c r="F3" s="4" t="str">
        <f>"1992年03月"</f>
        <v>1992年03月</v>
      </c>
      <c r="G3" s="4" t="str">
        <f>"共青团员"</f>
        <v>共青团员</v>
      </c>
      <c r="H3" s="4" t="str">
        <f>"522328199203205741"</f>
        <v>522328199203205741</v>
      </c>
      <c r="I3" s="4" t="str">
        <f>"西安思源学院汉语言文学"</f>
        <v>西安思源学院汉语言文学</v>
      </c>
      <c r="J3" s="4" t="str">
        <f>"汉语言文学"</f>
        <v>汉语言文学</v>
      </c>
      <c r="K3" s="4" t="str">
        <f aca="true" t="shared" si="0" ref="K3:K12">"本科学士"</f>
        <v>本科学士</v>
      </c>
      <c r="L3" s="4" t="str">
        <f>"18385655433"</f>
        <v>18385655433</v>
      </c>
      <c r="M3" s="4" t="str">
        <f aca="true" t="shared" si="1" ref="M3:M66">"隆林县"</f>
        <v>隆林县</v>
      </c>
      <c r="N3" s="4" t="str">
        <f>"贵州省安龙县新桥镇阿科村渔塘组8号"</f>
        <v>贵州省安龙县新桥镇阿科村渔塘组8号</v>
      </c>
      <c r="O3" s="4" t="str">
        <f>"1301515986@qq.com"</f>
        <v>1301515986@qq.com</v>
      </c>
      <c r="P3" s="4">
        <f>""</f>
      </c>
      <c r="Q3" s="4" t="str">
        <f>"2017.07.01"</f>
        <v>2017.07.01</v>
      </c>
      <c r="R3" s="4" t="str">
        <f>"不是"</f>
        <v>不是</v>
      </c>
      <c r="S3" s="4" t="str">
        <f>"3:初级中学"</f>
        <v>3:初级中学</v>
      </c>
      <c r="T3" s="4" t="str">
        <f>"2017届毕业生填暂无"</f>
        <v>2017届毕业生填暂无</v>
      </c>
      <c r="U3" s="4" t="str">
        <f>"2017届毕业生填暂无"</f>
        <v>2017届毕业生填暂无</v>
      </c>
      <c r="V3" s="4" t="str">
        <f aca="true" t="shared" si="2" ref="V3:V66">"初中"</f>
        <v>初中</v>
      </c>
      <c r="W3" s="4" t="str">
        <f aca="true" t="shared" si="3" ref="W3:W12">"202:语文"</f>
        <v>202:语文</v>
      </c>
      <c r="X3" s="4" t="str">
        <f aca="true" t="shared" si="4" ref="X3:X66">"通过"</f>
        <v>通过</v>
      </c>
    </row>
    <row r="4" spans="1:24" s="1" customFormat="1" ht="90" customHeight="1">
      <c r="A4" s="4" t="str">
        <f>"2"</f>
        <v>2</v>
      </c>
      <c r="B4" s="4" t="str">
        <f>"李元林"</f>
        <v>李元林</v>
      </c>
      <c r="C4" s="4" t="str">
        <f>"男        "</f>
        <v>男        </v>
      </c>
      <c r="D4" s="4" t="str">
        <f>"汉族"</f>
        <v>汉族</v>
      </c>
      <c r="E4" s="4" t="str">
        <f>"云南会泽"</f>
        <v>云南会泽</v>
      </c>
      <c r="F4" s="4" t="str">
        <f>"1993年05月"</f>
        <v>1993年05月</v>
      </c>
      <c r="G4" s="4" t="str">
        <f>"共青团员"</f>
        <v>共青团员</v>
      </c>
      <c r="H4" s="4" t="str">
        <f>"530326199305283617"</f>
        <v>530326199305283617</v>
      </c>
      <c r="I4" s="4" t="str">
        <f>"文山学院汉语言文学"</f>
        <v>文山学院汉语言文学</v>
      </c>
      <c r="J4" s="4" t="str">
        <f>"汉语言文学"</f>
        <v>汉语言文学</v>
      </c>
      <c r="K4" s="4" t="str">
        <f t="shared" si="0"/>
        <v>本科学士</v>
      </c>
      <c r="L4" s="4" t="str">
        <f>"18388671910"</f>
        <v>18388671910</v>
      </c>
      <c r="M4" s="4" t="str">
        <f t="shared" si="1"/>
        <v>隆林县</v>
      </c>
      <c r="N4" s="4" t="str">
        <f>"云南省曲靖市会泽县大井镇刘家山村委会"</f>
        <v>云南省曲靖市会泽县大井镇刘家山村委会</v>
      </c>
      <c r="O4" s="4" t="str">
        <f>"121768595@qq.com"</f>
        <v>121768595@qq.com</v>
      </c>
      <c r="P4" s="4" t="str">
        <f>"2016.09.01"</f>
        <v>2016.09.01</v>
      </c>
      <c r="Q4" s="4" t="str">
        <f>"2016.07.01"</f>
        <v>2016.07.01</v>
      </c>
      <c r="R4" s="4" t="str">
        <f>"是"</f>
        <v>是</v>
      </c>
      <c r="S4" s="4" t="str">
        <f>"4:高级中学"</f>
        <v>4:高级中学</v>
      </c>
      <c r="T4" s="4" t="str">
        <f>"20165307341000548"</f>
        <v>20165307341000548</v>
      </c>
      <c r="U4" s="4" t="str">
        <f>"115561201605000649"</f>
        <v>115561201605000649</v>
      </c>
      <c r="V4" s="4" t="str">
        <f t="shared" si="2"/>
        <v>初中</v>
      </c>
      <c r="W4" s="4" t="str">
        <f t="shared" si="3"/>
        <v>202:语文</v>
      </c>
      <c r="X4" s="4" t="str">
        <f t="shared" si="4"/>
        <v>通过</v>
      </c>
    </row>
    <row r="5" spans="1:24" s="1" customFormat="1" ht="90" customHeight="1">
      <c r="A5" s="4" t="str">
        <f>"3"</f>
        <v>3</v>
      </c>
      <c r="B5" s="4" t="str">
        <f>"李孝青"</f>
        <v>李孝青</v>
      </c>
      <c r="C5" s="4" t="str">
        <f>"女        "</f>
        <v>女        </v>
      </c>
      <c r="D5" s="4" t="str">
        <f>"汉族"</f>
        <v>汉族</v>
      </c>
      <c r="E5" s="4" t="str">
        <f>"贵州"</f>
        <v>贵州</v>
      </c>
      <c r="F5" s="4" t="str">
        <f>"1992年11月"</f>
        <v>1992年11月</v>
      </c>
      <c r="G5" s="4" t="str">
        <f>"共青团员"</f>
        <v>共青团员</v>
      </c>
      <c r="H5" s="4" t="str">
        <f>"522321199211300621"</f>
        <v>522321199211300621</v>
      </c>
      <c r="I5" s="4" t="str">
        <f>"重庆人文科技学院汉语言文学"</f>
        <v>重庆人文科技学院汉语言文学</v>
      </c>
      <c r="J5" s="4" t="str">
        <f>"汉语言文学"</f>
        <v>汉语言文学</v>
      </c>
      <c r="K5" s="4" t="str">
        <f t="shared" si="0"/>
        <v>本科学士</v>
      </c>
      <c r="L5" s="4" t="str">
        <f>"18286926632"</f>
        <v>18286926632</v>
      </c>
      <c r="M5" s="4" t="str">
        <f t="shared" si="1"/>
        <v>隆林县</v>
      </c>
      <c r="N5" s="4" t="str">
        <f>"贵州省兴义市黄草坝镇水库村五组13号"</f>
        <v>贵州省兴义市黄草坝镇水库村五组13号</v>
      </c>
      <c r="O5" s="4" t="str">
        <f>"554342648@qq.com"</f>
        <v>554342648@qq.com</v>
      </c>
      <c r="P5" s="4">
        <f>""</f>
      </c>
      <c r="Q5" s="4" t="str">
        <f>"2016.07.01"</f>
        <v>2016.07.01</v>
      </c>
      <c r="R5" s="4" t="str">
        <f>"是"</f>
        <v>是</v>
      </c>
      <c r="S5" s="4" t="str">
        <f>"4:高级中学"</f>
        <v>4:高级中学</v>
      </c>
      <c r="T5" s="4" t="str">
        <f>"20165000142006645"</f>
        <v>20165000142006645</v>
      </c>
      <c r="U5" s="4" t="str">
        <f>"135481201605001674"</f>
        <v>135481201605001674</v>
      </c>
      <c r="V5" s="4" t="str">
        <f t="shared" si="2"/>
        <v>初中</v>
      </c>
      <c r="W5" s="4" t="str">
        <f t="shared" si="3"/>
        <v>202:语文</v>
      </c>
      <c r="X5" s="4" t="str">
        <f t="shared" si="4"/>
        <v>通过</v>
      </c>
    </row>
    <row r="6" spans="1:24" s="1" customFormat="1" ht="90" customHeight="1">
      <c r="A6" s="4" t="str">
        <f>"4"</f>
        <v>4</v>
      </c>
      <c r="B6" s="4" t="str">
        <f>"陈晓红"</f>
        <v>陈晓红</v>
      </c>
      <c r="C6" s="4" t="str">
        <f>"女        "</f>
        <v>女        </v>
      </c>
      <c r="D6" s="4" t="str">
        <f>"苗族"</f>
        <v>苗族</v>
      </c>
      <c r="E6" s="4" t="str">
        <f>"广西百色市隆林县"</f>
        <v>广西百色市隆林县</v>
      </c>
      <c r="F6" s="4" t="str">
        <f>"1992年12月"</f>
        <v>1992年12月</v>
      </c>
      <c r="G6" s="4" t="str">
        <f>"共青团员"</f>
        <v>共青团员</v>
      </c>
      <c r="H6" s="4" t="str">
        <f>"452631199212053766"</f>
        <v>452631199212053766</v>
      </c>
      <c r="I6" s="4" t="str">
        <f>"钦州学院人文学院汉语言文学"</f>
        <v>钦州学院人文学院汉语言文学</v>
      </c>
      <c r="J6" s="4" t="str">
        <f>"汉语言文学"</f>
        <v>汉语言文学</v>
      </c>
      <c r="K6" s="4" t="str">
        <f t="shared" si="0"/>
        <v>本科学士</v>
      </c>
      <c r="L6" s="4" t="str">
        <f>"15778761092"</f>
        <v>15778761092</v>
      </c>
      <c r="M6" s="4" t="str">
        <f t="shared" si="1"/>
        <v>隆林县</v>
      </c>
      <c r="N6" s="4" t="str">
        <f>"广西壮族自治区百色市隆林各族自治县猪场乡那伟村龙保"</f>
        <v>广西壮族自治区百色市隆林各族自治县猪场乡那伟村龙保</v>
      </c>
      <c r="O6" s="4" t="str">
        <f>"1261458860@qq.com"</f>
        <v>1261458860@qq.com</v>
      </c>
      <c r="P6" s="4">
        <f>""</f>
      </c>
      <c r="Q6" s="4" t="str">
        <f>"2017.07.01"</f>
        <v>2017.07.01</v>
      </c>
      <c r="R6" s="4" t="str">
        <f>"是"</f>
        <v>是</v>
      </c>
      <c r="S6" s="4" t="str">
        <f>"4:高级中学"</f>
        <v>4:高级中学</v>
      </c>
      <c r="T6" s="4" t="str">
        <f>"暂无"</f>
        <v>暂无</v>
      </c>
      <c r="U6" s="4" t="str">
        <f>"暂无"</f>
        <v>暂无</v>
      </c>
      <c r="V6" s="4" t="str">
        <f t="shared" si="2"/>
        <v>初中</v>
      </c>
      <c r="W6" s="4" t="str">
        <f t="shared" si="3"/>
        <v>202:语文</v>
      </c>
      <c r="X6" s="4" t="str">
        <f t="shared" si="4"/>
        <v>通过</v>
      </c>
    </row>
    <row r="7" spans="1:24" s="1" customFormat="1" ht="90" customHeight="1">
      <c r="A7" s="4" t="str">
        <f>"5"</f>
        <v>5</v>
      </c>
      <c r="B7" s="4" t="str">
        <f>"侯青"</f>
        <v>侯青</v>
      </c>
      <c r="C7" s="4" t="str">
        <f>"女        "</f>
        <v>女        </v>
      </c>
      <c r="D7" s="4" t="str">
        <f>"汉族"</f>
        <v>汉族</v>
      </c>
      <c r="E7" s="4" t="str">
        <f>"云南省曲靖市富源县"</f>
        <v>云南省曲靖市富源县</v>
      </c>
      <c r="F7" s="4" t="str">
        <f>"1995年01月"</f>
        <v>1995年01月</v>
      </c>
      <c r="G7" s="4" t="str">
        <f>"中共党员"</f>
        <v>中共党员</v>
      </c>
      <c r="H7" s="4" t="str">
        <f>"532225199501131127"</f>
        <v>532225199501131127</v>
      </c>
      <c r="I7" s="4" t="str">
        <f>"广西大学汉语国际教育"</f>
        <v>广西大学汉语国际教育</v>
      </c>
      <c r="J7" s="4" t="str">
        <f>"汉语国际教育"</f>
        <v>汉语国际教育</v>
      </c>
      <c r="K7" s="4" t="str">
        <f t="shared" si="0"/>
        <v>本科学士</v>
      </c>
      <c r="L7" s="4" t="str">
        <f>"15287935474"</f>
        <v>15287935474</v>
      </c>
      <c r="M7" s="4" t="str">
        <f t="shared" si="1"/>
        <v>隆林县</v>
      </c>
      <c r="N7" s="4" t="str">
        <f>"云南省曲靖市富源县营上镇岩头村委会观音寺村"</f>
        <v>云南省曲靖市富源县营上镇岩头村委会观音寺村</v>
      </c>
      <c r="O7" s="4" t="str">
        <f>"1828280107@qq.com"</f>
        <v>1828280107@qq.com</v>
      </c>
      <c r="P7" s="4" t="str">
        <f>"2017.05.01"</f>
        <v>2017.05.01</v>
      </c>
      <c r="Q7" s="4" t="str">
        <f>"2017.06.01"</f>
        <v>2017.06.01</v>
      </c>
      <c r="R7" s="4" t="str">
        <f>"不是"</f>
        <v>不是</v>
      </c>
      <c r="S7" s="4" t="str">
        <f>"4:高级中学"</f>
        <v>4:高级中学</v>
      </c>
      <c r="T7" s="4" t="str">
        <f>"暂无"</f>
        <v>暂无</v>
      </c>
      <c r="U7" s="4" t="str">
        <f>"暂无"</f>
        <v>暂无</v>
      </c>
      <c r="V7" s="4" t="str">
        <f t="shared" si="2"/>
        <v>初中</v>
      </c>
      <c r="W7" s="4" t="str">
        <f t="shared" si="3"/>
        <v>202:语文</v>
      </c>
      <c r="X7" s="4" t="str">
        <f t="shared" si="4"/>
        <v>通过</v>
      </c>
    </row>
    <row r="8" spans="1:24" s="1" customFormat="1" ht="90" customHeight="1">
      <c r="A8" s="4" t="str">
        <f>"6"</f>
        <v>6</v>
      </c>
      <c r="B8" s="4" t="str">
        <f>"梁海鸿"</f>
        <v>梁海鸿</v>
      </c>
      <c r="C8" s="4" t="str">
        <f>"女        "</f>
        <v>女        </v>
      </c>
      <c r="D8" s="4" t="str">
        <f>"壮族"</f>
        <v>壮族</v>
      </c>
      <c r="E8" s="4" t="str">
        <f>"广西隆林"</f>
        <v>广西隆林</v>
      </c>
      <c r="F8" s="4" t="str">
        <f>"1991年09月"</f>
        <v>1991年09月</v>
      </c>
      <c r="G8" s="4" t="str">
        <f aca="true" t="shared" si="5" ref="G8:G16">"共青团员"</f>
        <v>共青团员</v>
      </c>
      <c r="H8" s="4" t="str">
        <f>"452631199109294801"</f>
        <v>452631199109294801</v>
      </c>
      <c r="I8" s="4" t="str">
        <f>"西南民族大学汉语言文学"</f>
        <v>西南民族大学汉语言文学</v>
      </c>
      <c r="J8" s="4" t="str">
        <f>"汉语言文学"</f>
        <v>汉语言文学</v>
      </c>
      <c r="K8" s="4" t="str">
        <f t="shared" si="0"/>
        <v>本科学士</v>
      </c>
      <c r="L8" s="4" t="str">
        <f>"15277692927"</f>
        <v>15277692927</v>
      </c>
      <c r="M8" s="4" t="str">
        <f t="shared" si="1"/>
        <v>隆林县</v>
      </c>
      <c r="N8" s="4" t="str">
        <f>"广西隆林各族自治县介廷乡老寨村巴拉屯"</f>
        <v>广西隆林各族自治县介廷乡老寨村巴拉屯</v>
      </c>
      <c r="O8" s="4" t="str">
        <f>"1119101849@qq.com"</f>
        <v>1119101849@qq.com</v>
      </c>
      <c r="P8" s="4">
        <f>""</f>
      </c>
      <c r="Q8" s="4" t="str">
        <f>"2017.06.01"</f>
        <v>2017.06.01</v>
      </c>
      <c r="R8" s="4" t="str">
        <f>"不是"</f>
        <v>不是</v>
      </c>
      <c r="S8" s="4" t="str">
        <f>"0:暂未取得"</f>
        <v>0:暂未取得</v>
      </c>
      <c r="T8" s="4" t="str">
        <f>"2017届毕业生填暂无"</f>
        <v>2017届毕业生填暂无</v>
      </c>
      <c r="U8" s="4" t="str">
        <f>"106561201705060058"</f>
        <v>106561201705060058</v>
      </c>
      <c r="V8" s="4" t="str">
        <f t="shared" si="2"/>
        <v>初中</v>
      </c>
      <c r="W8" s="4" t="str">
        <f t="shared" si="3"/>
        <v>202:语文</v>
      </c>
      <c r="X8" s="4" t="str">
        <f t="shared" si="4"/>
        <v>通过</v>
      </c>
    </row>
    <row r="9" spans="1:24" s="1" customFormat="1" ht="90" customHeight="1">
      <c r="A9" s="4" t="str">
        <f>"7"</f>
        <v>7</v>
      </c>
      <c r="B9" s="4" t="str">
        <f>"董雄飞"</f>
        <v>董雄飞</v>
      </c>
      <c r="C9" s="4" t="str">
        <f>"男        "</f>
        <v>男        </v>
      </c>
      <c r="D9" s="4" t="str">
        <f>"汉族"</f>
        <v>汉族</v>
      </c>
      <c r="E9" s="4" t="str">
        <f>"云南曲靖"</f>
        <v>云南曲靖</v>
      </c>
      <c r="F9" s="4" t="str">
        <f>"1990年03月"</f>
        <v>1990年03月</v>
      </c>
      <c r="G9" s="4" t="str">
        <f t="shared" si="5"/>
        <v>共青团员</v>
      </c>
      <c r="H9" s="4" t="str">
        <f>"530325199003081095"</f>
        <v>530325199003081095</v>
      </c>
      <c r="I9" s="4" t="str">
        <f>"曲靖师范学院汉语言文学"</f>
        <v>曲靖师范学院汉语言文学</v>
      </c>
      <c r="J9" s="4" t="str">
        <f>"汉语言文学"</f>
        <v>汉语言文学</v>
      </c>
      <c r="K9" s="4" t="str">
        <f t="shared" si="0"/>
        <v>本科学士</v>
      </c>
      <c r="L9" s="4" t="str">
        <f>"13769525507"</f>
        <v>13769525507</v>
      </c>
      <c r="M9" s="4" t="str">
        <f t="shared" si="1"/>
        <v>隆林县</v>
      </c>
      <c r="N9" s="4" t="str">
        <f>"云南省曲靖市富源县墨红镇"</f>
        <v>云南省曲靖市富源县墨红镇</v>
      </c>
      <c r="O9" s="4" t="str">
        <f>"1142102599@qq.com"</f>
        <v>1142102599@qq.com</v>
      </c>
      <c r="P9" s="4">
        <f>""</f>
      </c>
      <c r="Q9" s="4" t="str">
        <f>"2015.07.01"</f>
        <v>2015.07.01</v>
      </c>
      <c r="R9" s="4" t="str">
        <f>"是"</f>
        <v>是</v>
      </c>
      <c r="S9" s="4" t="str">
        <f>"4:高级中学"</f>
        <v>4:高级中学</v>
      </c>
      <c r="T9" s="4" t="str">
        <f>"201553028410015520"</f>
        <v>201553028410015520</v>
      </c>
      <c r="U9" s="4" t="str">
        <f>"106841201505000013"</f>
        <v>106841201505000013</v>
      </c>
      <c r="V9" s="4" t="str">
        <f t="shared" si="2"/>
        <v>初中</v>
      </c>
      <c r="W9" s="4" t="str">
        <f t="shared" si="3"/>
        <v>202:语文</v>
      </c>
      <c r="X9" s="4" t="str">
        <f t="shared" si="4"/>
        <v>通过</v>
      </c>
    </row>
    <row r="10" spans="1:25" s="1" customFormat="1" ht="90" customHeight="1">
      <c r="A10" s="4" t="str">
        <f>"8"</f>
        <v>8</v>
      </c>
      <c r="B10" s="4" t="str">
        <f>"李丹丹"</f>
        <v>李丹丹</v>
      </c>
      <c r="C10" s="4" t="str">
        <f>"女        "</f>
        <v>女        </v>
      </c>
      <c r="D10" s="4" t="str">
        <f>"汉族"</f>
        <v>汉族</v>
      </c>
      <c r="E10" s="4" t="str">
        <f>"贵州兴义"</f>
        <v>贵州兴义</v>
      </c>
      <c r="F10" s="4" t="str">
        <f>"1993年10月"</f>
        <v>1993年10月</v>
      </c>
      <c r="G10" s="4" t="str">
        <f t="shared" si="5"/>
        <v>共青团员</v>
      </c>
      <c r="H10" s="4" t="str">
        <f>"522321199310300440"</f>
        <v>522321199310300440</v>
      </c>
      <c r="I10" s="4" t="str">
        <f>"贵州财经大学汉语言文学"</f>
        <v>贵州财经大学汉语言文学</v>
      </c>
      <c r="J10" s="4" t="str">
        <f>"汉语言文学"</f>
        <v>汉语言文学</v>
      </c>
      <c r="K10" s="4" t="str">
        <f t="shared" si="0"/>
        <v>本科学士</v>
      </c>
      <c r="L10" s="4" t="str">
        <f>"15761627283"</f>
        <v>15761627283</v>
      </c>
      <c r="M10" s="4" t="str">
        <f t="shared" si="1"/>
        <v>隆林县</v>
      </c>
      <c r="N10" s="4" t="str">
        <f>"贵州省黔西南州兴义市黄草坝镇红旗村六组31号"</f>
        <v>贵州省黔西南州兴义市黄草坝镇红旗村六组31号</v>
      </c>
      <c r="O10" s="4" t="str">
        <f>"569478166@qq.com"</f>
        <v>569478166@qq.com</v>
      </c>
      <c r="P10" s="4" t="str">
        <f>"2017.05.01"</f>
        <v>2017.05.01</v>
      </c>
      <c r="Q10" s="4" t="str">
        <f>"2017.06.01"</f>
        <v>2017.06.01</v>
      </c>
      <c r="R10" s="4" t="str">
        <f>"不是"</f>
        <v>不是</v>
      </c>
      <c r="S10" s="4" t="str">
        <f>"4:高级中学"</f>
        <v>4:高级中学</v>
      </c>
      <c r="T10" s="4" t="str">
        <f>"暂无"</f>
        <v>暂无</v>
      </c>
      <c r="U10" s="4" t="str">
        <f>"暂无"</f>
        <v>暂无</v>
      </c>
      <c r="V10" s="4" t="str">
        <f t="shared" si="2"/>
        <v>初中</v>
      </c>
      <c r="W10" s="4" t="str">
        <f t="shared" si="3"/>
        <v>202:语文</v>
      </c>
      <c r="X10" s="4" t="str">
        <f t="shared" si="4"/>
        <v>通过</v>
      </c>
      <c r="Y10" s="1" t="s">
        <v>24</v>
      </c>
    </row>
    <row r="11" spans="1:24" s="1" customFormat="1" ht="90" customHeight="1">
      <c r="A11" s="4" t="str">
        <f>"9"</f>
        <v>9</v>
      </c>
      <c r="B11" s="4" t="str">
        <f>"胡必娇"</f>
        <v>胡必娇</v>
      </c>
      <c r="C11" s="4" t="str">
        <f>"女        "</f>
        <v>女        </v>
      </c>
      <c r="D11" s="4" t="str">
        <f>"汉族"</f>
        <v>汉族</v>
      </c>
      <c r="E11" s="4" t="str">
        <f>"广西百色市隆林县"</f>
        <v>广西百色市隆林县</v>
      </c>
      <c r="F11" s="4" t="str">
        <f>"1994年03月"</f>
        <v>1994年03月</v>
      </c>
      <c r="G11" s="4" t="str">
        <f t="shared" si="5"/>
        <v>共青团员</v>
      </c>
      <c r="H11" s="4" t="str">
        <f>"452631199403083888"</f>
        <v>452631199403083888</v>
      </c>
      <c r="I11" s="4" t="str">
        <f>"梧州学院汉语言文学"</f>
        <v>梧州学院汉语言文学</v>
      </c>
      <c r="J11" s="4" t="str">
        <f>"汉语言文学"</f>
        <v>汉语言文学</v>
      </c>
      <c r="K11" s="4" t="str">
        <f t="shared" si="0"/>
        <v>本科学士</v>
      </c>
      <c r="L11" s="4" t="str">
        <f>"13097744946"</f>
        <v>13097744946</v>
      </c>
      <c r="M11" s="4" t="str">
        <f t="shared" si="1"/>
        <v>隆林县</v>
      </c>
      <c r="N11" s="4" t="str">
        <f>"广西百色市隆林县蛇场乡蛇场村卡贵屯"</f>
        <v>广西百色市隆林县蛇场乡蛇场村卡贵屯</v>
      </c>
      <c r="O11" s="4" t="str">
        <f>"1436614916@qq.com"</f>
        <v>1436614916@qq.com</v>
      </c>
      <c r="P11" s="4">
        <f>""</f>
      </c>
      <c r="Q11" s="4" t="str">
        <f>"2017.06.01"</f>
        <v>2017.06.01</v>
      </c>
      <c r="R11" s="4" t="str">
        <f>"不是"</f>
        <v>不是</v>
      </c>
      <c r="S11" s="4" t="str">
        <f>"0:暂未取得"</f>
        <v>0:暂未取得</v>
      </c>
      <c r="T11" s="4" t="str">
        <f>"暂无"</f>
        <v>暂无</v>
      </c>
      <c r="U11" s="4" t="str">
        <f>"暂无"</f>
        <v>暂无</v>
      </c>
      <c r="V11" s="4" t="str">
        <f t="shared" si="2"/>
        <v>初中</v>
      </c>
      <c r="W11" s="4" t="str">
        <f t="shared" si="3"/>
        <v>202:语文</v>
      </c>
      <c r="X11" s="4" t="str">
        <f t="shared" si="4"/>
        <v>通过</v>
      </c>
    </row>
    <row r="12" spans="1:24" s="1" customFormat="1" ht="90" customHeight="1">
      <c r="A12" s="4" t="str">
        <f>"10"</f>
        <v>10</v>
      </c>
      <c r="B12" s="4" t="str">
        <f>"代勤"</f>
        <v>代勤</v>
      </c>
      <c r="C12" s="4" t="str">
        <f>"女        "</f>
        <v>女        </v>
      </c>
      <c r="D12" s="4" t="str">
        <f>"汉族"</f>
        <v>汉族</v>
      </c>
      <c r="E12" s="4" t="str">
        <f>"广西百色"</f>
        <v>广西百色</v>
      </c>
      <c r="F12" s="4" t="str">
        <f>"1991年11月"</f>
        <v>1991年11月</v>
      </c>
      <c r="G12" s="4" t="str">
        <f t="shared" si="5"/>
        <v>共青团员</v>
      </c>
      <c r="H12" s="4" t="str">
        <f>"452631199111121029"</f>
        <v>452631199111121029</v>
      </c>
      <c r="I12" s="4" t="str">
        <f>"湖北师范大学文理学院汉语言文学"</f>
        <v>湖北师范大学文理学院汉语言文学</v>
      </c>
      <c r="J12" s="4" t="str">
        <f>"汉语言文学"</f>
        <v>汉语言文学</v>
      </c>
      <c r="K12" s="4" t="str">
        <f t="shared" si="0"/>
        <v>本科学士</v>
      </c>
      <c r="L12" s="4" t="str">
        <f>"18271696551"</f>
        <v>18271696551</v>
      </c>
      <c r="M12" s="4" t="str">
        <f t="shared" si="1"/>
        <v>隆林县</v>
      </c>
      <c r="N12" s="4" t="str">
        <f>"广西百色市隆林县隆或镇街上"</f>
        <v>广西百色市隆林县隆或镇街上</v>
      </c>
      <c r="O12" s="4" t="str">
        <f>"1105408519@qq.com"</f>
        <v>1105408519@qq.com</v>
      </c>
      <c r="P12" s="4">
        <f>""</f>
      </c>
      <c r="Q12" s="4" t="str">
        <f>"2017.06.01"</f>
        <v>2017.06.01</v>
      </c>
      <c r="R12" s="4" t="str">
        <f>"是"</f>
        <v>是</v>
      </c>
      <c r="S12" s="4" t="str">
        <f>"3:初级中学"</f>
        <v>3:初级中学</v>
      </c>
      <c r="T12" s="4" t="str">
        <f>"2017届毕业生填暂无"</f>
        <v>2017届毕业生填暂无</v>
      </c>
      <c r="U12" s="4" t="str">
        <f>"2017届毕业生填暂无"</f>
        <v>2017届毕业生填暂无</v>
      </c>
      <c r="V12" s="4" t="str">
        <f t="shared" si="2"/>
        <v>初中</v>
      </c>
      <c r="W12" s="4" t="str">
        <f t="shared" si="3"/>
        <v>202:语文</v>
      </c>
      <c r="X12" s="4" t="str">
        <f t="shared" si="4"/>
        <v>通过</v>
      </c>
    </row>
    <row r="13" spans="1:24" s="1" customFormat="1" ht="71.25">
      <c r="A13" s="4" t="str">
        <f>"1"</f>
        <v>1</v>
      </c>
      <c r="B13" s="4" t="str">
        <f>"王高奋"</f>
        <v>王高奋</v>
      </c>
      <c r="C13" s="4" t="str">
        <f>"男        "</f>
        <v>男        </v>
      </c>
      <c r="D13" s="4" t="str">
        <f>"壮族"</f>
        <v>壮族</v>
      </c>
      <c r="E13" s="4" t="str">
        <f>"广西隆林自治县"</f>
        <v>广西隆林自治县</v>
      </c>
      <c r="F13" s="4" t="str">
        <f>"1995年01月"</f>
        <v>1995年01月</v>
      </c>
      <c r="G13" s="4" t="str">
        <f t="shared" si="5"/>
        <v>共青团员</v>
      </c>
      <c r="H13" s="4" t="str">
        <f>"452631199501042617"</f>
        <v>452631199501042617</v>
      </c>
      <c r="I13" s="4" t="str">
        <f>"广西师范大学数学与应用数学"</f>
        <v>广西师范大学数学与应用数学</v>
      </c>
      <c r="J13" s="4" t="str">
        <f>"数学与应用数学"</f>
        <v>数学与应用数学</v>
      </c>
      <c r="K13" s="4" t="str">
        <f>"本科学士"</f>
        <v>本科学士</v>
      </c>
      <c r="L13" s="4" t="str">
        <f>"15677340780"</f>
        <v>15677340780</v>
      </c>
      <c r="M13" s="4" t="str">
        <f t="shared" si="1"/>
        <v>隆林县</v>
      </c>
      <c r="N13" s="4" t="str">
        <f>"广西隆林自治县革步乡作腾村下作腾社31号"</f>
        <v>广西隆林自治县革步乡作腾村下作腾社31号</v>
      </c>
      <c r="O13" s="4" t="str">
        <f>"708860404@qq.com"</f>
        <v>708860404@qq.com</v>
      </c>
      <c r="P13" s="4" t="str">
        <f>"2016.09.01"</f>
        <v>2016.09.01</v>
      </c>
      <c r="Q13" s="4" t="str">
        <f>"2017.07.01"</f>
        <v>2017.07.01</v>
      </c>
      <c r="R13" s="4" t="str">
        <f>"是"</f>
        <v>是</v>
      </c>
      <c r="S13" s="4" t="str">
        <f>"0:暂未取得"</f>
        <v>0:暂未取得</v>
      </c>
      <c r="T13" s="4" t="str">
        <f>"暂无"</f>
        <v>暂无</v>
      </c>
      <c r="U13" s="4" t="str">
        <f>"暂无"</f>
        <v>暂无</v>
      </c>
      <c r="V13" s="4" t="str">
        <f t="shared" si="2"/>
        <v>初中</v>
      </c>
      <c r="W13" s="4" t="str">
        <f aca="true" t="shared" si="6" ref="W13:W20">"203:数学"</f>
        <v>203:数学</v>
      </c>
      <c r="X13" s="4" t="str">
        <f t="shared" si="4"/>
        <v>通过</v>
      </c>
    </row>
    <row r="14" spans="1:24" s="1" customFormat="1" ht="71.25">
      <c r="A14" s="4" t="str">
        <f>"2"</f>
        <v>2</v>
      </c>
      <c r="B14" s="4" t="str">
        <f>"李清勇"</f>
        <v>李清勇</v>
      </c>
      <c r="C14" s="4" t="str">
        <f>"男        "</f>
        <v>男        </v>
      </c>
      <c r="D14" s="4" t="str">
        <f>"汉族"</f>
        <v>汉族</v>
      </c>
      <c r="E14" s="4" t="str">
        <f>"贵州省普安县"</f>
        <v>贵州省普安县</v>
      </c>
      <c r="F14" s="4" t="str">
        <f>"1992年10月"</f>
        <v>1992年10月</v>
      </c>
      <c r="G14" s="4" t="str">
        <f t="shared" si="5"/>
        <v>共青团员</v>
      </c>
      <c r="H14" s="4" t="str">
        <f>"522323199210023012"</f>
        <v>522323199210023012</v>
      </c>
      <c r="I14" s="4" t="str">
        <f>"贵州师范大学求是学院数学与应用数学"</f>
        <v>贵州师范大学求是学院数学与应用数学</v>
      </c>
      <c r="J14" s="4" t="str">
        <f>"数学与应用数学"</f>
        <v>数学与应用数学</v>
      </c>
      <c r="K14" s="4" t="str">
        <f>"本科无学位"</f>
        <v>本科无学位</v>
      </c>
      <c r="L14" s="4" t="str">
        <f>"18153199363"</f>
        <v>18153199363</v>
      </c>
      <c r="M14" s="4" t="str">
        <f t="shared" si="1"/>
        <v>隆林县</v>
      </c>
      <c r="N14" s="4" t="str">
        <f>"贵州省普安县新店镇雨核村岩脚组"</f>
        <v>贵州省普安县新店镇雨核村岩脚组</v>
      </c>
      <c r="O14" s="4" t="str">
        <f>"2547191044@qq.com"</f>
        <v>2547191044@qq.com</v>
      </c>
      <c r="P14" s="4">
        <f>""</f>
      </c>
      <c r="Q14" s="4" t="str">
        <f>"2016.07.01"</f>
        <v>2016.07.01</v>
      </c>
      <c r="R14" s="4" t="str">
        <f>"是"</f>
        <v>是</v>
      </c>
      <c r="S14" s="4" t="str">
        <f>"4:高级中学"</f>
        <v>4:高级中学</v>
      </c>
      <c r="T14" s="4" t="str">
        <f>"20165210041003871"</f>
        <v>20165210041003871</v>
      </c>
      <c r="U14" s="4" t="str">
        <f>"1365212605001182"</f>
        <v>1365212605001182</v>
      </c>
      <c r="V14" s="4" t="str">
        <f t="shared" si="2"/>
        <v>初中</v>
      </c>
      <c r="W14" s="4" t="str">
        <f t="shared" si="6"/>
        <v>203:数学</v>
      </c>
      <c r="X14" s="4" t="str">
        <f t="shared" si="4"/>
        <v>通过</v>
      </c>
    </row>
    <row r="15" spans="1:24" s="1" customFormat="1" ht="71.25">
      <c r="A15" s="4" t="str">
        <f>"3"</f>
        <v>3</v>
      </c>
      <c r="B15" s="4" t="str">
        <f>"王志荣"</f>
        <v>王志荣</v>
      </c>
      <c r="C15" s="4" t="str">
        <f>"男        "</f>
        <v>男        </v>
      </c>
      <c r="D15" s="4" t="str">
        <f>"苗族"</f>
        <v>苗族</v>
      </c>
      <c r="E15" s="4" t="str">
        <f>"广西隆林县"</f>
        <v>广西隆林县</v>
      </c>
      <c r="F15" s="4" t="str">
        <f>"1990年06月"</f>
        <v>1990年06月</v>
      </c>
      <c r="G15" s="4" t="str">
        <f t="shared" si="5"/>
        <v>共青团员</v>
      </c>
      <c r="H15" s="4" t="str">
        <f>"452631199006043639"</f>
        <v>452631199006043639</v>
      </c>
      <c r="I15" s="4" t="str">
        <f>"广西民族大学自动化"</f>
        <v>广西民族大学自动化</v>
      </c>
      <c r="J15" s="4" t="str">
        <f>"自动化"</f>
        <v>自动化</v>
      </c>
      <c r="K15" s="4" t="str">
        <f aca="true" t="shared" si="7" ref="K15:K32">"本科学士"</f>
        <v>本科学士</v>
      </c>
      <c r="L15" s="4" t="str">
        <f>"13036862530"</f>
        <v>13036862530</v>
      </c>
      <c r="M15" s="4" t="str">
        <f t="shared" si="1"/>
        <v>隆林县</v>
      </c>
      <c r="N15" s="4" t="str">
        <f>"广西百色市隆林县猪场乡岩圩村广子山屯"</f>
        <v>广西百色市隆林县猪场乡岩圩村广子山屯</v>
      </c>
      <c r="O15" s="4" t="str">
        <f>"2904768716@qq.com"</f>
        <v>2904768716@qq.com</v>
      </c>
      <c r="P15" s="4" t="str">
        <f>"2014.06.01"</f>
        <v>2014.06.01</v>
      </c>
      <c r="Q15" s="4" t="str">
        <f>"2014.06.01"</f>
        <v>2014.06.01</v>
      </c>
      <c r="R15" s="4" t="str">
        <f>"不是"</f>
        <v>不是</v>
      </c>
      <c r="S15" s="4" t="str">
        <f>"3:初级中学"</f>
        <v>3:初级中学</v>
      </c>
      <c r="T15" s="4" t="str">
        <f>"2017453016706"</f>
        <v>2017453016706</v>
      </c>
      <c r="U15" s="4" t="str">
        <f>"106081201405003314"</f>
        <v>106081201405003314</v>
      </c>
      <c r="V15" s="4" t="str">
        <f t="shared" si="2"/>
        <v>初中</v>
      </c>
      <c r="W15" s="4" t="str">
        <f t="shared" si="6"/>
        <v>203:数学</v>
      </c>
      <c r="X15" s="4" t="str">
        <f t="shared" si="4"/>
        <v>通过</v>
      </c>
    </row>
    <row r="16" spans="1:24" s="1" customFormat="1" ht="71.25">
      <c r="A16" s="4" t="str">
        <f>"4"</f>
        <v>4</v>
      </c>
      <c r="B16" s="4" t="str">
        <f>"韦贵生"</f>
        <v>韦贵生</v>
      </c>
      <c r="C16" s="4" t="str">
        <f>"男        "</f>
        <v>男        </v>
      </c>
      <c r="D16" s="4" t="str">
        <f>"布依族"</f>
        <v>布依族</v>
      </c>
      <c r="E16" s="4" t="str">
        <f>"贵州望谟"</f>
        <v>贵州望谟</v>
      </c>
      <c r="F16" s="4" t="str">
        <f>"1992年12月"</f>
        <v>1992年12月</v>
      </c>
      <c r="G16" s="4" t="str">
        <f t="shared" si="5"/>
        <v>共青团员</v>
      </c>
      <c r="H16" s="4" t="str">
        <f>"522326199212202435"</f>
        <v>522326199212202435</v>
      </c>
      <c r="I16" s="4" t="str">
        <f>"贵州师范大学求是学院数学与应用数学"</f>
        <v>贵州师范大学求是学院数学与应用数学</v>
      </c>
      <c r="J16" s="4" t="str">
        <f>"数学与应用数学"</f>
        <v>数学与应用数学</v>
      </c>
      <c r="K16" s="4" t="str">
        <f t="shared" si="7"/>
        <v>本科学士</v>
      </c>
      <c r="L16" s="4" t="str">
        <f>"18748999321"</f>
        <v>18748999321</v>
      </c>
      <c r="M16" s="4" t="str">
        <f t="shared" si="1"/>
        <v>隆林县</v>
      </c>
      <c r="N16" s="4" t="str">
        <f>"贵州省望谟县蔗香乡板陈村二组"</f>
        <v>贵州省望谟县蔗香乡板陈村二组</v>
      </c>
      <c r="O16" s="4" t="str">
        <f>"2433352032@qq.con"</f>
        <v>2433352032@qq.con</v>
      </c>
      <c r="P16" s="4">
        <f>""</f>
      </c>
      <c r="Q16" s="4" t="str">
        <f>"2016.07.01"</f>
        <v>2016.07.01</v>
      </c>
      <c r="R16" s="4" t="str">
        <f aca="true" t="shared" si="8" ref="R16:R21">"是"</f>
        <v>是</v>
      </c>
      <c r="S16" s="4" t="str">
        <f>"4:高级中学"</f>
        <v>4:高级中学</v>
      </c>
      <c r="T16" s="4" t="str">
        <f>"20165210041003877"</f>
        <v>20165210041003877</v>
      </c>
      <c r="U16" s="4" t="str">
        <f>"136521201605001200"</f>
        <v>136521201605001200</v>
      </c>
      <c r="V16" s="4" t="str">
        <f t="shared" si="2"/>
        <v>初中</v>
      </c>
      <c r="W16" s="4" t="str">
        <f t="shared" si="6"/>
        <v>203:数学</v>
      </c>
      <c r="X16" s="4" t="str">
        <f t="shared" si="4"/>
        <v>通过</v>
      </c>
    </row>
    <row r="17" spans="1:24" s="1" customFormat="1" ht="57">
      <c r="A17" s="4" t="str">
        <f>"5"</f>
        <v>5</v>
      </c>
      <c r="B17" s="4" t="str">
        <f>"黄媛"</f>
        <v>黄媛</v>
      </c>
      <c r="C17" s="4" t="str">
        <f>"女        "</f>
        <v>女        </v>
      </c>
      <c r="D17" s="4" t="str">
        <f>"壮族"</f>
        <v>壮族</v>
      </c>
      <c r="E17" s="4" t="str">
        <f>"广西隆林各族自治县"</f>
        <v>广西隆林各族自治县</v>
      </c>
      <c r="F17" s="4" t="str">
        <f>"1992年06月"</f>
        <v>1992年06月</v>
      </c>
      <c r="G17" s="4" t="str">
        <f>"中共党员"</f>
        <v>中共党员</v>
      </c>
      <c r="H17" s="4" t="str">
        <f>"452631199206052089"</f>
        <v>452631199206052089</v>
      </c>
      <c r="I17" s="4" t="str">
        <f>"百色学院数学与应用数学"</f>
        <v>百色学院数学与应用数学</v>
      </c>
      <c r="J17" s="4" t="str">
        <f>"数学与应用数学"</f>
        <v>数学与应用数学</v>
      </c>
      <c r="K17" s="4" t="str">
        <f t="shared" si="7"/>
        <v>本科学士</v>
      </c>
      <c r="L17" s="4" t="str">
        <f>"15296224405"</f>
        <v>15296224405</v>
      </c>
      <c r="M17" s="4" t="str">
        <f t="shared" si="1"/>
        <v>隆林县</v>
      </c>
      <c r="N17" s="4" t="str">
        <f>"广西隆林各族自治县者浪乡者烘村"</f>
        <v>广西隆林各族自治县者浪乡者烘村</v>
      </c>
      <c r="O17" s="4" t="str">
        <f>"1312579856@qq.com"</f>
        <v>1312579856@qq.com</v>
      </c>
      <c r="P17" s="4" t="str">
        <f>"2016.09.01"</f>
        <v>2016.09.01</v>
      </c>
      <c r="Q17" s="4" t="str">
        <f>"2017.07.01"</f>
        <v>2017.07.01</v>
      </c>
      <c r="R17" s="4" t="str">
        <f t="shared" si="8"/>
        <v>是</v>
      </c>
      <c r="S17" s="4" t="str">
        <f>"4:高级中学"</f>
        <v>4:高级中学</v>
      </c>
      <c r="T17" s="4" t="str">
        <f>"暂无"</f>
        <v>暂无</v>
      </c>
      <c r="U17" s="4" t="str">
        <f>"暂无"</f>
        <v>暂无</v>
      </c>
      <c r="V17" s="4" t="str">
        <f t="shared" si="2"/>
        <v>初中</v>
      </c>
      <c r="W17" s="4" t="str">
        <f t="shared" si="6"/>
        <v>203:数学</v>
      </c>
      <c r="X17" s="4" t="str">
        <f t="shared" si="4"/>
        <v>通过</v>
      </c>
    </row>
    <row r="18" spans="1:24" s="1" customFormat="1" ht="85.5">
      <c r="A18" s="4" t="str">
        <f>"6"</f>
        <v>6</v>
      </c>
      <c r="B18" s="4" t="str">
        <f>"张兰"</f>
        <v>张兰</v>
      </c>
      <c r="C18" s="4" t="str">
        <f>"女        "</f>
        <v>女        </v>
      </c>
      <c r="D18" s="4" t="str">
        <f>"汉族"</f>
        <v>汉族</v>
      </c>
      <c r="E18" s="4" t="str">
        <f>"广西隆林各族自治县"</f>
        <v>广西隆林各族自治县</v>
      </c>
      <c r="F18" s="4" t="str">
        <f>"1994年06月"</f>
        <v>1994年06月</v>
      </c>
      <c r="G18" s="4" t="str">
        <f>"共青团员"</f>
        <v>共青团员</v>
      </c>
      <c r="H18" s="4" t="str">
        <f>"452631199406160981"</f>
        <v>452631199406160981</v>
      </c>
      <c r="I18" s="4" t="str">
        <f>"玉林师范学院数学与应用数学"</f>
        <v>玉林师范学院数学与应用数学</v>
      </c>
      <c r="J18" s="4" t="str">
        <f>"数学与应用数学"</f>
        <v>数学与应用数学</v>
      </c>
      <c r="K18" s="4" t="str">
        <f t="shared" si="7"/>
        <v>本科学士</v>
      </c>
      <c r="L18" s="4" t="str">
        <f>"18878552664"</f>
        <v>18878552664</v>
      </c>
      <c r="M18" s="4" t="str">
        <f t="shared" si="1"/>
        <v>隆林县</v>
      </c>
      <c r="N18" s="4" t="str">
        <f>"广西隆林各族自治县隆或乡沙保村三角山屯009号"</f>
        <v>广西隆林各族自治县隆或乡沙保村三角山屯009号</v>
      </c>
      <c r="O18" s="4" t="str">
        <f>"1184277492@qq.com"</f>
        <v>1184277492@qq.com</v>
      </c>
      <c r="P18" s="4" t="str">
        <f>"2016.09.01"</f>
        <v>2016.09.01</v>
      </c>
      <c r="Q18" s="4" t="str">
        <f>"2017.06.01"</f>
        <v>2017.06.01</v>
      </c>
      <c r="R18" s="4" t="str">
        <f t="shared" si="8"/>
        <v>是</v>
      </c>
      <c r="S18" s="4" t="str">
        <f>"4:高级中学"</f>
        <v>4:高级中学</v>
      </c>
      <c r="T18" s="4" t="str">
        <f>"2017届毕业生填暂无"</f>
        <v>2017届毕业生填暂无</v>
      </c>
      <c r="U18" s="4" t="str">
        <f>"2017届毕业生填暂无"</f>
        <v>2017届毕业生填暂无</v>
      </c>
      <c r="V18" s="4" t="str">
        <f t="shared" si="2"/>
        <v>初中</v>
      </c>
      <c r="W18" s="4" t="str">
        <f t="shared" si="6"/>
        <v>203:数学</v>
      </c>
      <c r="X18" s="4" t="str">
        <f t="shared" si="4"/>
        <v>通过</v>
      </c>
    </row>
    <row r="19" spans="1:24" s="1" customFormat="1" ht="71.25">
      <c r="A19" s="4" t="str">
        <f>"7"</f>
        <v>7</v>
      </c>
      <c r="B19" s="4" t="str">
        <f>"何艳"</f>
        <v>何艳</v>
      </c>
      <c r="C19" s="4" t="str">
        <f>"女        "</f>
        <v>女        </v>
      </c>
      <c r="D19" s="4" t="str">
        <f>"汉族"</f>
        <v>汉族</v>
      </c>
      <c r="E19" s="4" t="str">
        <f>"广西隆林县天生桥镇"</f>
        <v>广西隆林县天生桥镇</v>
      </c>
      <c r="F19" s="4" t="str">
        <f>"1994年08月"</f>
        <v>1994年08月</v>
      </c>
      <c r="G19" s="4" t="str">
        <f>"共青团员"</f>
        <v>共青团员</v>
      </c>
      <c r="H19" s="4" t="str">
        <f>"452631199408082307"</f>
        <v>452631199408082307</v>
      </c>
      <c r="I19" s="4" t="str">
        <f>"百色学院数学与应用数学"</f>
        <v>百色学院数学与应用数学</v>
      </c>
      <c r="J19" s="4" t="str">
        <f>"数学与应用数学"</f>
        <v>数学与应用数学</v>
      </c>
      <c r="K19" s="4" t="str">
        <f t="shared" si="7"/>
        <v>本科学士</v>
      </c>
      <c r="L19" s="4" t="str">
        <f>"18778693178"</f>
        <v>18778693178</v>
      </c>
      <c r="M19" s="4" t="str">
        <f t="shared" si="1"/>
        <v>隆林县</v>
      </c>
      <c r="N19" s="4" t="str">
        <f>"广西百色隆林县天生桥镇安然村风浩屯"</f>
        <v>广西百色隆林县天生桥镇安然村风浩屯</v>
      </c>
      <c r="O19" s="4" t="str">
        <f>"562376051@qq.com"</f>
        <v>562376051@qq.com</v>
      </c>
      <c r="P19" s="4">
        <f>""</f>
      </c>
      <c r="Q19" s="4" t="str">
        <f>"2017.07.01"</f>
        <v>2017.07.01</v>
      </c>
      <c r="R19" s="4" t="str">
        <f t="shared" si="8"/>
        <v>是</v>
      </c>
      <c r="S19" s="4" t="str">
        <f>"4:高级中学"</f>
        <v>4:高级中学</v>
      </c>
      <c r="T19" s="4" t="str">
        <f>"暂无"</f>
        <v>暂无</v>
      </c>
      <c r="U19" s="4" t="str">
        <f>"暂无"</f>
        <v>暂无</v>
      </c>
      <c r="V19" s="4" t="str">
        <f t="shared" si="2"/>
        <v>初中</v>
      </c>
      <c r="W19" s="4" t="str">
        <f t="shared" si="6"/>
        <v>203:数学</v>
      </c>
      <c r="X19" s="4" t="str">
        <f t="shared" si="4"/>
        <v>通过</v>
      </c>
    </row>
    <row r="20" spans="1:24" s="1" customFormat="1" ht="71.25">
      <c r="A20" s="4" t="str">
        <f>"8"</f>
        <v>8</v>
      </c>
      <c r="B20" s="4" t="str">
        <f>"陈间英"</f>
        <v>陈间英</v>
      </c>
      <c r="C20" s="4" t="str">
        <f>"女        "</f>
        <v>女        </v>
      </c>
      <c r="D20" s="4" t="str">
        <f>"汉族"</f>
        <v>汉族</v>
      </c>
      <c r="E20" s="4" t="str">
        <f>"广西苍梧县"</f>
        <v>广西苍梧县</v>
      </c>
      <c r="F20" s="4" t="str">
        <f>"1993年09月"</f>
        <v>1993年09月</v>
      </c>
      <c r="G20" s="4" t="str">
        <f>"中共党员"</f>
        <v>中共党员</v>
      </c>
      <c r="H20" s="4" t="str">
        <f>"450421199309293066"</f>
        <v>450421199309293066</v>
      </c>
      <c r="I20" s="4" t="str">
        <f>"百色学院数学与应用数学"</f>
        <v>百色学院数学与应用数学</v>
      </c>
      <c r="J20" s="4" t="str">
        <f>"数学与应用数学"</f>
        <v>数学与应用数学</v>
      </c>
      <c r="K20" s="4" t="str">
        <f t="shared" si="7"/>
        <v>本科学士</v>
      </c>
      <c r="L20" s="4" t="str">
        <f>"18777645028"</f>
        <v>18777645028</v>
      </c>
      <c r="M20" s="4" t="str">
        <f t="shared" si="1"/>
        <v>隆林县</v>
      </c>
      <c r="N20" s="4" t="str">
        <f>"广西苍梧县岭脚镇岭脚村下妙组7号"</f>
        <v>广西苍梧县岭脚镇岭脚村下妙组7号</v>
      </c>
      <c r="O20" s="4" t="str">
        <f>"1120502431@qq.com"</f>
        <v>1120502431@qq.com</v>
      </c>
      <c r="P20" s="4">
        <f>""</f>
      </c>
      <c r="Q20" s="4" t="str">
        <f>"2017.06.01"</f>
        <v>2017.06.01</v>
      </c>
      <c r="R20" s="4" t="str">
        <f t="shared" si="8"/>
        <v>是</v>
      </c>
      <c r="S20" s="4" t="str">
        <f>"3:初级中学"</f>
        <v>3:初级中学</v>
      </c>
      <c r="T20" s="4" t="str">
        <f>"2017届毕业生填暂无"</f>
        <v>2017届毕业生填暂无</v>
      </c>
      <c r="U20" s="4" t="str">
        <f>"2017届毕业生填暂无"</f>
        <v>2017届毕业生填暂无</v>
      </c>
      <c r="V20" s="4" t="str">
        <f t="shared" si="2"/>
        <v>初中</v>
      </c>
      <c r="W20" s="4" t="str">
        <f t="shared" si="6"/>
        <v>203:数学</v>
      </c>
      <c r="X20" s="4" t="str">
        <f t="shared" si="4"/>
        <v>通过</v>
      </c>
    </row>
    <row r="21" spans="1:24" s="1" customFormat="1" ht="71.25">
      <c r="A21" s="4" t="str">
        <f>"1"</f>
        <v>1</v>
      </c>
      <c r="B21" s="4" t="str">
        <f>"张伟"</f>
        <v>张伟</v>
      </c>
      <c r="C21" s="4" t="str">
        <f>"男        "</f>
        <v>男        </v>
      </c>
      <c r="D21" s="4" t="str">
        <f>"汉族"</f>
        <v>汉族</v>
      </c>
      <c r="E21" s="4" t="str">
        <f>"安徽安庆"</f>
        <v>安徽安庆</v>
      </c>
      <c r="F21" s="4" t="str">
        <f>"1990年10月"</f>
        <v>1990年10月</v>
      </c>
      <c r="G21" s="4" t="str">
        <f>"共青团员"</f>
        <v>共青团员</v>
      </c>
      <c r="H21" s="4" t="str">
        <f>"340881199010075139"</f>
        <v>340881199010075139</v>
      </c>
      <c r="I21" s="4" t="str">
        <f>"楚雄师范学院英语"</f>
        <v>楚雄师范学院英语</v>
      </c>
      <c r="J21" s="4" t="str">
        <f>"英语"</f>
        <v>英语</v>
      </c>
      <c r="K21" s="4" t="str">
        <f t="shared" si="7"/>
        <v>本科学士</v>
      </c>
      <c r="L21" s="4" t="str">
        <f>"18082924323"</f>
        <v>18082924323</v>
      </c>
      <c r="M21" s="4" t="str">
        <f t="shared" si="1"/>
        <v>隆林县</v>
      </c>
      <c r="N21" s="4" t="str">
        <f>"安徽省安庆市桐城市孔城镇古井村金湾13号"</f>
        <v>安徽省安庆市桐城市孔城镇古井村金湾13号</v>
      </c>
      <c r="O21" s="4" t="str">
        <f>"380860653@qq.com"</f>
        <v>380860653@qq.com</v>
      </c>
      <c r="P21" s="4" t="str">
        <f>"2014.11.01"</f>
        <v>2014.11.01</v>
      </c>
      <c r="Q21" s="4" t="str">
        <f>"2014.07.01"</f>
        <v>2014.07.01</v>
      </c>
      <c r="R21" s="4" t="str">
        <f t="shared" si="8"/>
        <v>是</v>
      </c>
      <c r="S21" s="4" t="str">
        <f>"4:高级中学"</f>
        <v>4:高级中学</v>
      </c>
      <c r="T21" s="4" t="str">
        <f>"20145303841001142"</f>
        <v>20145303841001142</v>
      </c>
      <c r="U21" s="4" t="str">
        <f>"113911201405001472"</f>
        <v>113911201405001472</v>
      </c>
      <c r="V21" s="4" t="str">
        <f t="shared" si="2"/>
        <v>初中</v>
      </c>
      <c r="W21" s="4" t="str">
        <f aca="true" t="shared" si="9" ref="W21:W26">"204:英语"</f>
        <v>204:英语</v>
      </c>
      <c r="X21" s="4" t="str">
        <f t="shared" si="4"/>
        <v>通过</v>
      </c>
    </row>
    <row r="22" spans="1:24" s="1" customFormat="1" ht="57">
      <c r="A22" s="4" t="str">
        <f>"2"</f>
        <v>2</v>
      </c>
      <c r="B22" s="4" t="str">
        <f>"黄柳蝶"</f>
        <v>黄柳蝶</v>
      </c>
      <c r="C22" s="4" t="str">
        <f>"女        "</f>
        <v>女        </v>
      </c>
      <c r="D22" s="4" t="str">
        <f>"壮族"</f>
        <v>壮族</v>
      </c>
      <c r="E22" s="4" t="str">
        <f>"广西"</f>
        <v>广西</v>
      </c>
      <c r="F22" s="4" t="str">
        <f>"1992年03月"</f>
        <v>1992年03月</v>
      </c>
      <c r="G22" s="4" t="str">
        <f>"共青团员"</f>
        <v>共青团员</v>
      </c>
      <c r="H22" s="4" t="str">
        <f>"452631199203292642"</f>
        <v>452631199203292642</v>
      </c>
      <c r="I22" s="4" t="str">
        <f>"右江民族医学院英语"</f>
        <v>右江民族医学院英语</v>
      </c>
      <c r="J22" s="4" t="str">
        <f>"英语"</f>
        <v>英语</v>
      </c>
      <c r="K22" s="4" t="str">
        <f t="shared" si="7"/>
        <v>本科学士</v>
      </c>
      <c r="L22" s="4" t="str">
        <f>"18307763789"</f>
        <v>18307763789</v>
      </c>
      <c r="M22" s="4" t="str">
        <f t="shared" si="1"/>
        <v>隆林县</v>
      </c>
      <c r="N22" s="4" t="str">
        <f>"广西百色市隆林县革步乡红岩村"</f>
        <v>广西百色市隆林县革步乡红岩村</v>
      </c>
      <c r="O22" s="4" t="str">
        <f>"495649533@qq.com"</f>
        <v>495649533@qq.com</v>
      </c>
      <c r="P22" s="4">
        <f>""</f>
      </c>
      <c r="Q22" s="4" t="str">
        <f>"2016.07.01"</f>
        <v>2016.07.01</v>
      </c>
      <c r="R22" s="4" t="str">
        <f>"不是"</f>
        <v>不是</v>
      </c>
      <c r="S22" s="4" t="str">
        <f>"4:高级中学"</f>
        <v>4:高级中学</v>
      </c>
      <c r="T22" s="4" t="str">
        <f>"20164580042001154"</f>
        <v>20164580042001154</v>
      </c>
      <c r="U22" s="4" t="str">
        <f>"105991201605001248"</f>
        <v>105991201605001248</v>
      </c>
      <c r="V22" s="4" t="str">
        <f t="shared" si="2"/>
        <v>初中</v>
      </c>
      <c r="W22" s="4" t="str">
        <f t="shared" si="9"/>
        <v>204:英语</v>
      </c>
      <c r="X22" s="4" t="str">
        <f t="shared" si="4"/>
        <v>通过</v>
      </c>
    </row>
    <row r="23" spans="1:24" s="1" customFormat="1" ht="71.25">
      <c r="A23" s="4" t="str">
        <f>"3"</f>
        <v>3</v>
      </c>
      <c r="B23" s="4" t="str">
        <f>"张淇"</f>
        <v>张淇</v>
      </c>
      <c r="C23" s="4" t="str">
        <f>"女        "</f>
        <v>女        </v>
      </c>
      <c r="D23" s="4" t="str">
        <f>"汉族"</f>
        <v>汉族</v>
      </c>
      <c r="E23" s="4" t="str">
        <f>"广西隆林"</f>
        <v>广西隆林</v>
      </c>
      <c r="F23" s="4" t="str">
        <f>"1995年09月"</f>
        <v>1995年09月</v>
      </c>
      <c r="G23" s="4" t="str">
        <f>"中共党员"</f>
        <v>中共党员</v>
      </c>
      <c r="H23" s="4" t="str">
        <f>"451031199509202300"</f>
        <v>451031199509202300</v>
      </c>
      <c r="I23" s="4" t="str">
        <f>"玉林师范学院英语"</f>
        <v>玉林师范学院英语</v>
      </c>
      <c r="J23" s="4" t="str">
        <f>"英语"</f>
        <v>英语</v>
      </c>
      <c r="K23" s="4" t="str">
        <f t="shared" si="7"/>
        <v>本科学士</v>
      </c>
      <c r="L23" s="4" t="str">
        <f>"18278674798"</f>
        <v>18278674798</v>
      </c>
      <c r="M23" s="4" t="str">
        <f t="shared" si="1"/>
        <v>隆林县</v>
      </c>
      <c r="N23" s="4" t="str">
        <f>"广西隆林各族自治县天生桥镇播存村播存二队"</f>
        <v>广西隆林各族自治县天生桥镇播存村播存二队</v>
      </c>
      <c r="O23" s="4" t="str">
        <f>"825069648@qq.com"</f>
        <v>825069648@qq.com</v>
      </c>
      <c r="P23" s="4">
        <f>""</f>
      </c>
      <c r="Q23" s="4" t="str">
        <f>"2017.07.01"</f>
        <v>2017.07.01</v>
      </c>
      <c r="R23" s="4" t="str">
        <f>"不是"</f>
        <v>不是</v>
      </c>
      <c r="S23" s="4" t="str">
        <f>"4:高级中学"</f>
        <v>4:高级中学</v>
      </c>
      <c r="T23" s="4" t="str">
        <f>"暂无"</f>
        <v>暂无</v>
      </c>
      <c r="U23" s="4" t="str">
        <f>"暂无"</f>
        <v>暂无</v>
      </c>
      <c r="V23" s="4" t="str">
        <f t="shared" si="2"/>
        <v>初中</v>
      </c>
      <c r="W23" s="4" t="str">
        <f t="shared" si="9"/>
        <v>204:英语</v>
      </c>
      <c r="X23" s="4" t="str">
        <f t="shared" si="4"/>
        <v>通过</v>
      </c>
    </row>
    <row r="24" spans="1:24" s="1" customFormat="1" ht="71.25">
      <c r="A24" s="4" t="str">
        <f>"4"</f>
        <v>4</v>
      </c>
      <c r="B24" s="4" t="str">
        <f>"田梦瑶"</f>
        <v>田梦瑶</v>
      </c>
      <c r="C24" s="4" t="str">
        <f>"女        "</f>
        <v>女        </v>
      </c>
      <c r="D24" s="4" t="str">
        <f>"布依族"</f>
        <v>布依族</v>
      </c>
      <c r="E24" s="4" t="str">
        <f>"贵州兴义"</f>
        <v>贵州兴义</v>
      </c>
      <c r="F24" s="4" t="str">
        <f>"1995年03月"</f>
        <v>1995年03月</v>
      </c>
      <c r="G24" s="4" t="str">
        <f aca="true" t="shared" si="10" ref="G24:G29">"共青团员"</f>
        <v>共青团员</v>
      </c>
      <c r="H24" s="4" t="str">
        <f>"522321199503211225"</f>
        <v>522321199503211225</v>
      </c>
      <c r="I24" s="4" t="str">
        <f>"遵义师范学院英语"</f>
        <v>遵义师范学院英语</v>
      </c>
      <c r="J24" s="4" t="str">
        <f>"英语"</f>
        <v>英语</v>
      </c>
      <c r="K24" s="4" t="str">
        <f t="shared" si="7"/>
        <v>本科学士</v>
      </c>
      <c r="L24" s="4" t="str">
        <f>"13595946550"</f>
        <v>13595946550</v>
      </c>
      <c r="M24" s="4" t="str">
        <f t="shared" si="1"/>
        <v>隆林县</v>
      </c>
      <c r="N24" s="4" t="str">
        <f>"贵州省兴义市桔山镇笔山村三组附1号"</f>
        <v>贵州省兴义市桔山镇笔山村三组附1号</v>
      </c>
      <c r="O24" s="4" t="str">
        <f>"892585696@qq.com"</f>
        <v>892585696@qq.com</v>
      </c>
      <c r="P24" s="4">
        <f>""</f>
      </c>
      <c r="Q24" s="4" t="str">
        <f>"2017.07.01"</f>
        <v>2017.07.01</v>
      </c>
      <c r="R24" s="4" t="str">
        <f>"是"</f>
        <v>是</v>
      </c>
      <c r="S24" s="4" t="str">
        <f>"4:高级中学"</f>
        <v>4:高级中学</v>
      </c>
      <c r="T24" s="4" t="str">
        <f>"无"</f>
        <v>无</v>
      </c>
      <c r="U24" s="4" t="str">
        <f>"无"</f>
        <v>无</v>
      </c>
      <c r="V24" s="4" t="str">
        <f t="shared" si="2"/>
        <v>初中</v>
      </c>
      <c r="W24" s="4" t="str">
        <f t="shared" si="9"/>
        <v>204:英语</v>
      </c>
      <c r="X24" s="4" t="str">
        <f t="shared" si="4"/>
        <v>通过</v>
      </c>
    </row>
    <row r="25" spans="1:24" s="1" customFormat="1" ht="85.5">
      <c r="A25" s="4" t="str">
        <f>"5"</f>
        <v>5</v>
      </c>
      <c r="B25" s="4" t="str">
        <f>"宋仕翠"</f>
        <v>宋仕翠</v>
      </c>
      <c r="C25" s="4" t="str">
        <f>"女        "</f>
        <v>女        </v>
      </c>
      <c r="D25" s="4" t="str">
        <f>"汉族"</f>
        <v>汉族</v>
      </c>
      <c r="E25" s="4" t="str">
        <f>"隆林各族自治县"</f>
        <v>隆林各族自治县</v>
      </c>
      <c r="F25" s="4" t="str">
        <f>"1993年09月"</f>
        <v>1993年09月</v>
      </c>
      <c r="G25" s="4" t="str">
        <f t="shared" si="10"/>
        <v>共青团员</v>
      </c>
      <c r="H25" s="4" t="str">
        <f>"452631199309111045"</f>
        <v>452631199309111045</v>
      </c>
      <c r="I25" s="4" t="str">
        <f>"玉林师范学院应用英语"</f>
        <v>玉林师范学院应用英语</v>
      </c>
      <c r="J25" s="4" t="str">
        <f>"应用英语"</f>
        <v>应用英语</v>
      </c>
      <c r="K25" s="4" t="str">
        <f t="shared" si="7"/>
        <v>本科学士</v>
      </c>
      <c r="L25" s="4" t="str">
        <f>"18878554456"</f>
        <v>18878554456</v>
      </c>
      <c r="M25" s="4" t="str">
        <f t="shared" si="1"/>
        <v>隆林县</v>
      </c>
      <c r="N25" s="4" t="str">
        <f>"广西隆林各族自治县隆或镇双多村宋家洞屯023号"</f>
        <v>广西隆林各族自治县隆或镇双多村宋家洞屯023号</v>
      </c>
      <c r="O25" s="4" t="str">
        <f>"1442382162@qq.com"</f>
        <v>1442382162@qq.com</v>
      </c>
      <c r="P25" s="4">
        <f>""</f>
      </c>
      <c r="Q25" s="4" t="str">
        <f>"2017.06.01"</f>
        <v>2017.06.01</v>
      </c>
      <c r="R25" s="4" t="str">
        <f>"不是"</f>
        <v>不是</v>
      </c>
      <c r="S25" s="4" t="str">
        <f>"0:暂未取得"</f>
        <v>0:暂未取得</v>
      </c>
      <c r="T25" s="4" t="str">
        <f>"2017届毕业生填暂无"</f>
        <v>2017届毕业生填暂无</v>
      </c>
      <c r="U25" s="4" t="str">
        <f>"2017届毕业生填暂无"</f>
        <v>2017届毕业生填暂无</v>
      </c>
      <c r="V25" s="4" t="str">
        <f t="shared" si="2"/>
        <v>初中</v>
      </c>
      <c r="W25" s="4" t="str">
        <f t="shared" si="9"/>
        <v>204:英语</v>
      </c>
      <c r="X25" s="4" t="str">
        <f t="shared" si="4"/>
        <v>通过</v>
      </c>
    </row>
    <row r="26" spans="1:24" s="1" customFormat="1" ht="57">
      <c r="A26" s="4" t="str">
        <f>"6"</f>
        <v>6</v>
      </c>
      <c r="B26" s="4" t="str">
        <f>"钟文华"</f>
        <v>钟文华</v>
      </c>
      <c r="C26" s="4" t="str">
        <f>"男        "</f>
        <v>男        </v>
      </c>
      <c r="D26" s="4" t="str">
        <f>"苗族"</f>
        <v>苗族</v>
      </c>
      <c r="E26" s="4" t="str">
        <f>"广西省"</f>
        <v>广西省</v>
      </c>
      <c r="F26" s="4" t="str">
        <f>"1988年10月"</f>
        <v>1988年10月</v>
      </c>
      <c r="G26" s="4" t="str">
        <f t="shared" si="10"/>
        <v>共青团员</v>
      </c>
      <c r="H26" s="4" t="str">
        <f>"452631198810264139"</f>
        <v>452631198810264139</v>
      </c>
      <c r="I26" s="4" t="str">
        <f>"贺州学院英语教育"</f>
        <v>贺州学院英语教育</v>
      </c>
      <c r="J26" s="4" t="str">
        <f>"英语教育"</f>
        <v>英语教育</v>
      </c>
      <c r="K26" s="4" t="str">
        <f t="shared" si="7"/>
        <v>本科学士</v>
      </c>
      <c r="L26" s="4" t="str">
        <f>"18077673612"</f>
        <v>18077673612</v>
      </c>
      <c r="M26" s="4" t="str">
        <f t="shared" si="1"/>
        <v>隆林县</v>
      </c>
      <c r="N26" s="4">
        <f>""</f>
      </c>
      <c r="O26" s="4" t="str">
        <f>"931828757@qq.com"</f>
        <v>931828757@qq.com</v>
      </c>
      <c r="P26" s="4" t="str">
        <f>"2013.11.01"</f>
        <v>2013.11.01</v>
      </c>
      <c r="Q26" s="4" t="str">
        <f>"2013.07.01"</f>
        <v>2013.07.01</v>
      </c>
      <c r="R26" s="4" t="str">
        <f>"是"</f>
        <v>是</v>
      </c>
      <c r="S26" s="4" t="str">
        <f>"4:高级中学"</f>
        <v>4:高级中学</v>
      </c>
      <c r="T26" s="4" t="str">
        <f>"20134540041000353"</f>
        <v>20134540041000353</v>
      </c>
      <c r="U26" s="4" t="str">
        <f>"118381201305000485"</f>
        <v>118381201305000485</v>
      </c>
      <c r="V26" s="4" t="str">
        <f t="shared" si="2"/>
        <v>初中</v>
      </c>
      <c r="W26" s="4" t="str">
        <f t="shared" si="9"/>
        <v>204:英语</v>
      </c>
      <c r="X26" s="4" t="str">
        <f t="shared" si="4"/>
        <v>通过</v>
      </c>
    </row>
    <row r="27" spans="1:24" s="1" customFormat="1" ht="71.25">
      <c r="A27" s="4" t="str">
        <f>"1"</f>
        <v>1</v>
      </c>
      <c r="B27" s="4" t="str">
        <f>"王庭秀"</f>
        <v>王庭秀</v>
      </c>
      <c r="C27" s="4" t="str">
        <f>"女        "</f>
        <v>女        </v>
      </c>
      <c r="D27" s="4" t="str">
        <f aca="true" t="shared" si="11" ref="D27:D32">"汉族"</f>
        <v>汉族</v>
      </c>
      <c r="E27" s="4" t="str">
        <f>"贵州兴义"</f>
        <v>贵州兴义</v>
      </c>
      <c r="F27" s="4" t="str">
        <f>"1994年12月"</f>
        <v>1994年12月</v>
      </c>
      <c r="G27" s="4" t="str">
        <f t="shared" si="10"/>
        <v>共青团员</v>
      </c>
      <c r="H27" s="4" t="str">
        <f>"52232119941210124X"</f>
        <v>52232119941210124X</v>
      </c>
      <c r="I27" s="4" t="str">
        <f>"黔南民族师范学院历史学"</f>
        <v>黔南民族师范学院历史学</v>
      </c>
      <c r="J27" s="4" t="str">
        <f aca="true" t="shared" si="12" ref="J27:J32">"历史学"</f>
        <v>历史学</v>
      </c>
      <c r="K27" s="4" t="str">
        <f t="shared" si="7"/>
        <v>本科学士</v>
      </c>
      <c r="L27" s="4" t="str">
        <f>"18385655305"</f>
        <v>18385655305</v>
      </c>
      <c r="M27" s="4" t="str">
        <f t="shared" si="1"/>
        <v>隆林县</v>
      </c>
      <c r="N27" s="4" t="str">
        <f>"贵州省兴义市桔山镇龙塘村二组123号"</f>
        <v>贵州省兴义市桔山镇龙塘村二组123号</v>
      </c>
      <c r="O27" s="4" t="str">
        <f>"2055464707@qq.com"</f>
        <v>2055464707@qq.com</v>
      </c>
      <c r="P27" s="4" t="str">
        <f>"2016.10.01"</f>
        <v>2016.10.01</v>
      </c>
      <c r="Q27" s="4" t="str">
        <f>"2017.07.01"</f>
        <v>2017.07.01</v>
      </c>
      <c r="R27" s="4" t="str">
        <f aca="true" t="shared" si="13" ref="R27:R45">"是"</f>
        <v>是</v>
      </c>
      <c r="S27" s="4" t="str">
        <f aca="true" t="shared" si="14" ref="S27:S32">"4:高级中学"</f>
        <v>4:高级中学</v>
      </c>
      <c r="T27" s="4" t="str">
        <f>"暂无"</f>
        <v>暂无</v>
      </c>
      <c r="U27" s="4" t="str">
        <f>"暂无"</f>
        <v>暂无</v>
      </c>
      <c r="V27" s="4" t="str">
        <f t="shared" si="2"/>
        <v>初中</v>
      </c>
      <c r="W27" s="4" t="str">
        <f aca="true" t="shared" si="15" ref="W27:W32">"206:历史"</f>
        <v>206:历史</v>
      </c>
      <c r="X27" s="4" t="str">
        <f t="shared" si="4"/>
        <v>通过</v>
      </c>
    </row>
    <row r="28" spans="1:24" s="1" customFormat="1" ht="57">
      <c r="A28" s="4" t="str">
        <f>"2"</f>
        <v>2</v>
      </c>
      <c r="B28" s="4" t="str">
        <f>"吴显丽"</f>
        <v>吴显丽</v>
      </c>
      <c r="C28" s="4" t="str">
        <f>"女        "</f>
        <v>女        </v>
      </c>
      <c r="D28" s="4" t="str">
        <f t="shared" si="11"/>
        <v>汉族</v>
      </c>
      <c r="E28" s="4" t="str">
        <f>"贵州兴义"</f>
        <v>贵州兴义</v>
      </c>
      <c r="F28" s="4" t="str">
        <f>"1993年04月"</f>
        <v>1993年04月</v>
      </c>
      <c r="G28" s="4" t="str">
        <f t="shared" si="10"/>
        <v>共青团员</v>
      </c>
      <c r="H28" s="4" t="str">
        <f>"522321199304020020"</f>
        <v>522321199304020020</v>
      </c>
      <c r="I28" s="4" t="str">
        <f>"贵州师范学院历史学"</f>
        <v>贵州师范学院历史学</v>
      </c>
      <c r="J28" s="4" t="str">
        <f t="shared" si="12"/>
        <v>历史学</v>
      </c>
      <c r="K28" s="4" t="str">
        <f t="shared" si="7"/>
        <v>本科学士</v>
      </c>
      <c r="L28" s="4" t="str">
        <f>"18185994473"</f>
        <v>18185994473</v>
      </c>
      <c r="M28" s="4" t="str">
        <f t="shared" si="1"/>
        <v>隆林县</v>
      </c>
      <c r="N28" s="4" t="str">
        <f>"贵州省兴义市向阳路二巷162号"</f>
        <v>贵州省兴义市向阳路二巷162号</v>
      </c>
      <c r="O28" s="4" t="str">
        <f>"1814251290@qq.com"</f>
        <v>1814251290@qq.com</v>
      </c>
      <c r="P28" s="4" t="str">
        <f>"2016.09.01"</f>
        <v>2016.09.01</v>
      </c>
      <c r="Q28" s="4" t="str">
        <f>"2017.07.01"</f>
        <v>2017.07.01</v>
      </c>
      <c r="R28" s="4" t="str">
        <f t="shared" si="13"/>
        <v>是</v>
      </c>
      <c r="S28" s="4" t="str">
        <f t="shared" si="14"/>
        <v>4:高级中学</v>
      </c>
      <c r="T28" s="4" t="str">
        <f>"无"</f>
        <v>无</v>
      </c>
      <c r="U28" s="4" t="str">
        <f>"无"</f>
        <v>无</v>
      </c>
      <c r="V28" s="4" t="str">
        <f t="shared" si="2"/>
        <v>初中</v>
      </c>
      <c r="W28" s="4" t="str">
        <f t="shared" si="15"/>
        <v>206:历史</v>
      </c>
      <c r="X28" s="4" t="str">
        <f t="shared" si="4"/>
        <v>通过</v>
      </c>
    </row>
    <row r="29" spans="1:24" s="1" customFormat="1" ht="71.25">
      <c r="A29" s="4" t="str">
        <f>"3"</f>
        <v>3</v>
      </c>
      <c r="B29" s="4" t="str">
        <f>"万崇雨"</f>
        <v>万崇雨</v>
      </c>
      <c r="C29" s="4" t="str">
        <f>"男        "</f>
        <v>男        </v>
      </c>
      <c r="D29" s="4" t="str">
        <f t="shared" si="11"/>
        <v>汉族</v>
      </c>
      <c r="E29" s="4" t="str">
        <f>"广西凌云"</f>
        <v>广西凌云</v>
      </c>
      <c r="F29" s="4" t="str">
        <f>"1993年07月"</f>
        <v>1993年07月</v>
      </c>
      <c r="G29" s="4" t="str">
        <f t="shared" si="10"/>
        <v>共青团员</v>
      </c>
      <c r="H29" s="4" t="str">
        <f>"452628199307101814"</f>
        <v>452628199307101814</v>
      </c>
      <c r="I29" s="4" t="str">
        <f>"玉林师范学院历史学"</f>
        <v>玉林师范学院历史学</v>
      </c>
      <c r="J29" s="4" t="str">
        <f t="shared" si="12"/>
        <v>历史学</v>
      </c>
      <c r="K29" s="4" t="str">
        <f t="shared" si="7"/>
        <v>本科学士</v>
      </c>
      <c r="L29" s="4" t="str">
        <f>"18878553864"</f>
        <v>18878553864</v>
      </c>
      <c r="M29" s="4" t="str">
        <f t="shared" si="1"/>
        <v>隆林县</v>
      </c>
      <c r="N29" s="4" t="str">
        <f>"广西凌云县逻楼镇磨村村上陇崴屯46号"</f>
        <v>广西凌云县逻楼镇磨村村上陇崴屯46号</v>
      </c>
      <c r="O29" s="4" t="str">
        <f>"1125069054@qq.com"</f>
        <v>1125069054@qq.com</v>
      </c>
      <c r="P29" s="4">
        <f>""</f>
      </c>
      <c r="Q29" s="4" t="str">
        <f>"2017.06.01"</f>
        <v>2017.06.01</v>
      </c>
      <c r="R29" s="4" t="str">
        <f t="shared" si="13"/>
        <v>是</v>
      </c>
      <c r="S29" s="4" t="str">
        <f t="shared" si="14"/>
        <v>4:高级中学</v>
      </c>
      <c r="T29" s="4" t="str">
        <f>"2017届毕业生填暂无"</f>
        <v>2017届毕业生填暂无</v>
      </c>
      <c r="U29" s="4" t="str">
        <f>"2017届毕业生填暂无"</f>
        <v>2017届毕业生填暂无</v>
      </c>
      <c r="V29" s="4" t="str">
        <f t="shared" si="2"/>
        <v>初中</v>
      </c>
      <c r="W29" s="4" t="str">
        <f t="shared" si="15"/>
        <v>206:历史</v>
      </c>
      <c r="X29" s="4" t="str">
        <f t="shared" si="4"/>
        <v>通过</v>
      </c>
    </row>
    <row r="30" spans="1:24" s="1" customFormat="1" ht="57">
      <c r="A30" s="4" t="str">
        <f>"4"</f>
        <v>4</v>
      </c>
      <c r="B30" s="4" t="str">
        <f>"罗光春"</f>
        <v>罗光春</v>
      </c>
      <c r="C30" s="4" t="str">
        <f>"女        "</f>
        <v>女        </v>
      </c>
      <c r="D30" s="4" t="str">
        <f t="shared" si="11"/>
        <v>汉族</v>
      </c>
      <c r="E30" s="4" t="str">
        <f>"贵州兴仁"</f>
        <v>贵州兴仁</v>
      </c>
      <c r="F30" s="4" t="str">
        <f>"1990年02月"</f>
        <v>1990年02月</v>
      </c>
      <c r="G30" s="4" t="str">
        <f>"中共党员"</f>
        <v>中共党员</v>
      </c>
      <c r="H30" s="4" t="str">
        <f>"522322199002162329"</f>
        <v>522322199002162329</v>
      </c>
      <c r="I30" s="4" t="str">
        <f>"遵义师范学院历史学"</f>
        <v>遵义师范学院历史学</v>
      </c>
      <c r="J30" s="4" t="str">
        <f t="shared" si="12"/>
        <v>历史学</v>
      </c>
      <c r="K30" s="4" t="str">
        <f t="shared" si="7"/>
        <v>本科学士</v>
      </c>
      <c r="L30" s="4" t="str">
        <f>"13765266373"</f>
        <v>13765266373</v>
      </c>
      <c r="M30" s="4" t="str">
        <f t="shared" si="1"/>
        <v>隆林县</v>
      </c>
      <c r="N30" s="4" t="str">
        <f>"贵州省兴仁县下山镇白岩村中心组"</f>
        <v>贵州省兴仁县下山镇白岩村中心组</v>
      </c>
      <c r="O30" s="4" t="str">
        <f>"1160233208@qq.com"</f>
        <v>1160233208@qq.com</v>
      </c>
      <c r="P30" s="4" t="str">
        <f>"2016.09.01"</f>
        <v>2016.09.01</v>
      </c>
      <c r="Q30" s="4" t="str">
        <f>"2016.07.01"</f>
        <v>2016.07.01</v>
      </c>
      <c r="R30" s="4" t="str">
        <f t="shared" si="13"/>
        <v>是</v>
      </c>
      <c r="S30" s="4" t="str">
        <f t="shared" si="14"/>
        <v>4:高级中学</v>
      </c>
      <c r="T30" s="4" t="str">
        <f>"20165220042000787"</f>
        <v>20165220042000787</v>
      </c>
      <c r="U30" s="4" t="str">
        <f>"106641201605000930"</f>
        <v>106641201605000930</v>
      </c>
      <c r="V30" s="4" t="str">
        <f t="shared" si="2"/>
        <v>初中</v>
      </c>
      <c r="W30" s="4" t="str">
        <f t="shared" si="15"/>
        <v>206:历史</v>
      </c>
      <c r="X30" s="4" t="str">
        <f t="shared" si="4"/>
        <v>通过</v>
      </c>
    </row>
    <row r="31" spans="1:24" s="1" customFormat="1" ht="71.25">
      <c r="A31" s="4" t="str">
        <f>"5"</f>
        <v>5</v>
      </c>
      <c r="B31" s="4" t="str">
        <f>"杨贞杏"</f>
        <v>杨贞杏</v>
      </c>
      <c r="C31" s="4" t="str">
        <f>"女        "</f>
        <v>女        </v>
      </c>
      <c r="D31" s="4" t="str">
        <f t="shared" si="11"/>
        <v>汉族</v>
      </c>
      <c r="E31" s="4" t="str">
        <f>"贵州兴仁"</f>
        <v>贵州兴仁</v>
      </c>
      <c r="F31" s="4" t="str">
        <f>"1992年02月"</f>
        <v>1992年02月</v>
      </c>
      <c r="G31" s="4" t="str">
        <f>"共青团员"</f>
        <v>共青团员</v>
      </c>
      <c r="H31" s="4" t="str">
        <f>"522322199202222429"</f>
        <v>522322199202222429</v>
      </c>
      <c r="I31" s="4" t="str">
        <f>"贵州师范学院历史学"</f>
        <v>贵州师范学院历史学</v>
      </c>
      <c r="J31" s="4" t="str">
        <f t="shared" si="12"/>
        <v>历史学</v>
      </c>
      <c r="K31" s="4" t="str">
        <f t="shared" si="7"/>
        <v>本科学士</v>
      </c>
      <c r="L31" s="4" t="str">
        <f>"18786067006"</f>
        <v>18786067006</v>
      </c>
      <c r="M31" s="4" t="str">
        <f t="shared" si="1"/>
        <v>隆林县</v>
      </c>
      <c r="N31" s="4" t="str">
        <f>"贵州省兴仁县城南街道办事处杨泗屯村"</f>
        <v>贵州省兴仁县城南街道办事处杨泗屯村</v>
      </c>
      <c r="O31" s="4" t="str">
        <f>"790621129@qq.com"</f>
        <v>790621129@qq.com</v>
      </c>
      <c r="P31" s="4">
        <f>""</f>
      </c>
      <c r="Q31" s="4" t="str">
        <f>"2016.07.01"</f>
        <v>2016.07.01</v>
      </c>
      <c r="R31" s="4" t="str">
        <f t="shared" si="13"/>
        <v>是</v>
      </c>
      <c r="S31" s="4" t="str">
        <f t="shared" si="14"/>
        <v>4:高级中学</v>
      </c>
      <c r="T31" s="4" t="str">
        <f>"20165210042006211"</f>
        <v>20165210042006211</v>
      </c>
      <c r="U31" s="4" t="str">
        <f>"142231201605001165"</f>
        <v>142231201605001165</v>
      </c>
      <c r="V31" s="4" t="str">
        <f t="shared" si="2"/>
        <v>初中</v>
      </c>
      <c r="W31" s="4" t="str">
        <f t="shared" si="15"/>
        <v>206:历史</v>
      </c>
      <c r="X31" s="4" t="str">
        <f t="shared" si="4"/>
        <v>通过</v>
      </c>
    </row>
    <row r="32" spans="1:24" s="1" customFormat="1" ht="57">
      <c r="A32" s="4" t="str">
        <f>"6"</f>
        <v>6</v>
      </c>
      <c r="B32" s="4" t="str">
        <f>"朱兴娟"</f>
        <v>朱兴娟</v>
      </c>
      <c r="C32" s="4" t="str">
        <f>"女        "</f>
        <v>女        </v>
      </c>
      <c r="D32" s="4" t="str">
        <f t="shared" si="11"/>
        <v>汉族</v>
      </c>
      <c r="E32" s="4" t="str">
        <f>"贵州兴仁"</f>
        <v>贵州兴仁</v>
      </c>
      <c r="F32" s="4" t="str">
        <f>"1991年11月"</f>
        <v>1991年11月</v>
      </c>
      <c r="G32" s="4" t="str">
        <f>"中共党员"</f>
        <v>中共党员</v>
      </c>
      <c r="H32" s="4" t="str">
        <f>"522322199111020426"</f>
        <v>522322199111020426</v>
      </c>
      <c r="I32" s="4" t="str">
        <f>"遵义师范学院历史学"</f>
        <v>遵义师范学院历史学</v>
      </c>
      <c r="J32" s="4" t="str">
        <f t="shared" si="12"/>
        <v>历史学</v>
      </c>
      <c r="K32" s="4" t="str">
        <f t="shared" si="7"/>
        <v>本科学士</v>
      </c>
      <c r="L32" s="4" t="str">
        <f>"15186433297"</f>
        <v>15186433297</v>
      </c>
      <c r="M32" s="4" t="str">
        <f t="shared" si="1"/>
        <v>隆林县</v>
      </c>
      <c r="N32" s="4" t="str">
        <f>"贵州省兴仁县巴铃镇"</f>
        <v>贵州省兴仁县巴铃镇</v>
      </c>
      <c r="O32" s="4" t="str">
        <f>"962811874@qq.com"</f>
        <v>962811874@qq.com</v>
      </c>
      <c r="P32" s="4" t="str">
        <f>"2016.09.01"</f>
        <v>2016.09.01</v>
      </c>
      <c r="Q32" s="4" t="str">
        <f>"2016.07.01"</f>
        <v>2016.07.01</v>
      </c>
      <c r="R32" s="4" t="str">
        <f t="shared" si="13"/>
        <v>是</v>
      </c>
      <c r="S32" s="4" t="str">
        <f t="shared" si="14"/>
        <v>4:高级中学</v>
      </c>
      <c r="T32" s="4" t="str">
        <f>"20165220042001474"</f>
        <v>20165220042001474</v>
      </c>
      <c r="U32" s="4" t="str">
        <f>"106641201605000934"</f>
        <v>106641201605000934</v>
      </c>
      <c r="V32" s="4" t="str">
        <f t="shared" si="2"/>
        <v>初中</v>
      </c>
      <c r="W32" s="4" t="str">
        <f t="shared" si="15"/>
        <v>206:历史</v>
      </c>
      <c r="X32" s="4" t="str">
        <f t="shared" si="4"/>
        <v>通过</v>
      </c>
    </row>
    <row r="33" spans="1:24" s="1" customFormat="1" ht="57">
      <c r="A33" s="4" t="str">
        <f>"1"</f>
        <v>1</v>
      </c>
      <c r="B33" s="4" t="str">
        <f>"杨光伟"</f>
        <v>杨光伟</v>
      </c>
      <c r="C33" s="4" t="str">
        <f aca="true" t="shared" si="16" ref="C33:C38">"男        "</f>
        <v>男        </v>
      </c>
      <c r="D33" s="4" t="str">
        <f>"汉族"</f>
        <v>汉族</v>
      </c>
      <c r="E33" s="4" t="str">
        <f>"贵州安龙"</f>
        <v>贵州安龙</v>
      </c>
      <c r="F33" s="4" t="str">
        <f>"1994年09月"</f>
        <v>1994年09月</v>
      </c>
      <c r="G33" s="4" t="str">
        <f>"共青团员"</f>
        <v>共青团员</v>
      </c>
      <c r="H33" s="4" t="str">
        <f>"522328199409213612"</f>
        <v>522328199409213612</v>
      </c>
      <c r="I33" s="4" t="str">
        <f>"贵州师范大学求是学院地理科学"</f>
        <v>贵州师范大学求是学院地理科学</v>
      </c>
      <c r="J33" s="4" t="str">
        <f aca="true" t="shared" si="17" ref="J33:J40">"地理科学"</f>
        <v>地理科学</v>
      </c>
      <c r="K33" s="4" t="str">
        <f>"本科学士"</f>
        <v>本科学士</v>
      </c>
      <c r="L33" s="4" t="str">
        <f>"13809440634"</f>
        <v>13809440634</v>
      </c>
      <c r="M33" s="4" t="str">
        <f t="shared" si="1"/>
        <v>隆林县</v>
      </c>
      <c r="N33" s="4" t="str">
        <f>"贵州省安龙县普坪镇"</f>
        <v>贵州省安龙县普坪镇</v>
      </c>
      <c r="O33" s="4" t="str">
        <f>"362713059@qq.com"</f>
        <v>362713059@qq.com</v>
      </c>
      <c r="P33" s="4" t="str">
        <f>"2016.09.01"</f>
        <v>2016.09.01</v>
      </c>
      <c r="Q33" s="4" t="str">
        <f>"2016.07.01"</f>
        <v>2016.07.01</v>
      </c>
      <c r="R33" s="4" t="str">
        <f t="shared" si="13"/>
        <v>是</v>
      </c>
      <c r="S33" s="4" t="str">
        <f>"4:高级中学"</f>
        <v>4:高级中学</v>
      </c>
      <c r="T33" s="4" t="str">
        <f>"20165210041003973"</f>
        <v>20165210041003973</v>
      </c>
      <c r="U33" s="4" t="str">
        <f>"13652120160500093"</f>
        <v>13652120160500093</v>
      </c>
      <c r="V33" s="4" t="str">
        <f t="shared" si="2"/>
        <v>初中</v>
      </c>
      <c r="W33" s="4" t="str">
        <f aca="true" t="shared" si="18" ref="W33:W58">"207:地理"</f>
        <v>207:地理</v>
      </c>
      <c r="X33" s="4" t="str">
        <f t="shared" si="4"/>
        <v>通过</v>
      </c>
    </row>
    <row r="34" spans="1:24" s="1" customFormat="1" ht="71.25">
      <c r="A34" s="4" t="str">
        <f>"2"</f>
        <v>2</v>
      </c>
      <c r="B34" s="4" t="str">
        <f>"曾虎"</f>
        <v>曾虎</v>
      </c>
      <c r="C34" s="4" t="str">
        <f t="shared" si="16"/>
        <v>男        </v>
      </c>
      <c r="D34" s="4" t="str">
        <f>"汉族"</f>
        <v>汉族</v>
      </c>
      <c r="E34" s="4" t="str">
        <f>"贵州省兴义市"</f>
        <v>贵州省兴义市</v>
      </c>
      <c r="F34" s="4" t="str">
        <f>"1994年05月"</f>
        <v>1994年05月</v>
      </c>
      <c r="G34" s="4" t="str">
        <f>"中共党员"</f>
        <v>中共党员</v>
      </c>
      <c r="H34" s="4" t="str">
        <f>"522321199405076111"</f>
        <v>522321199405076111</v>
      </c>
      <c r="I34" s="4" t="str">
        <f>"黔南民族师范学院地理科学"</f>
        <v>黔南民族师范学院地理科学</v>
      </c>
      <c r="J34" s="4" t="str">
        <f t="shared" si="17"/>
        <v>地理科学</v>
      </c>
      <c r="K34" s="4" t="str">
        <f>"本科学士"</f>
        <v>本科学士</v>
      </c>
      <c r="L34" s="4" t="str">
        <f>"18385657322"</f>
        <v>18385657322</v>
      </c>
      <c r="M34" s="4" t="str">
        <f t="shared" si="1"/>
        <v>隆林县</v>
      </c>
      <c r="N34" s="4" t="str">
        <f>"贵州省兴义市捧乍镇铁厂村关口组25号"</f>
        <v>贵州省兴义市捧乍镇铁厂村关口组25号</v>
      </c>
      <c r="O34" s="4" t="str">
        <f>"1126970734@qq.com"</f>
        <v>1126970734@qq.com</v>
      </c>
      <c r="P34" s="4">
        <f>""</f>
      </c>
      <c r="Q34" s="4" t="str">
        <f>"2017.07.01"</f>
        <v>2017.07.01</v>
      </c>
      <c r="R34" s="4" t="str">
        <f t="shared" si="13"/>
        <v>是</v>
      </c>
      <c r="S34" s="4" t="str">
        <f>"4:高级中学"</f>
        <v>4:高级中学</v>
      </c>
      <c r="T34" s="4" t="str">
        <f>"暂无"</f>
        <v>暂无</v>
      </c>
      <c r="U34" s="4" t="str">
        <f>"暂无"</f>
        <v>暂无</v>
      </c>
      <c r="V34" s="4" t="str">
        <f t="shared" si="2"/>
        <v>初中</v>
      </c>
      <c r="W34" s="4" t="str">
        <f t="shared" si="18"/>
        <v>207:地理</v>
      </c>
      <c r="X34" s="4" t="str">
        <f t="shared" si="4"/>
        <v>通过</v>
      </c>
    </row>
    <row r="35" spans="1:24" s="1" customFormat="1" ht="85.5">
      <c r="A35" s="4" t="str">
        <f>"3"</f>
        <v>3</v>
      </c>
      <c r="B35" s="4" t="str">
        <f>"李水东"</f>
        <v>李水东</v>
      </c>
      <c r="C35" s="4" t="str">
        <f t="shared" si="16"/>
        <v>男        </v>
      </c>
      <c r="D35" s="4" t="str">
        <f>"汉族"</f>
        <v>汉族</v>
      </c>
      <c r="E35" s="4" t="str">
        <f>"云南会泽"</f>
        <v>云南会泽</v>
      </c>
      <c r="F35" s="4" t="str">
        <f>"1993年08月"</f>
        <v>1993年08月</v>
      </c>
      <c r="G35" s="4" t="str">
        <f>"共青团员"</f>
        <v>共青团员</v>
      </c>
      <c r="H35" s="4" t="str">
        <f>"530326199308260330"</f>
        <v>530326199308260330</v>
      </c>
      <c r="I35" s="4" t="str">
        <f>"曲靖师范学院地理科学"</f>
        <v>曲靖师范学院地理科学</v>
      </c>
      <c r="J35" s="4" t="str">
        <f t="shared" si="17"/>
        <v>地理科学</v>
      </c>
      <c r="K35" s="4" t="str">
        <f>"本科学士"</f>
        <v>本科学士</v>
      </c>
      <c r="L35" s="4" t="str">
        <f>"15987410341"</f>
        <v>15987410341</v>
      </c>
      <c r="M35" s="4" t="str">
        <f t="shared" si="1"/>
        <v>隆林县</v>
      </c>
      <c r="N35" s="4" t="str">
        <f>"云南省曲靖市会泽县金钟镇竹园村炭山七组540号"</f>
        <v>云南省曲靖市会泽县金钟镇竹园村炭山七组540号</v>
      </c>
      <c r="O35" s="4" t="str">
        <f>"1046555059@qq.com"</f>
        <v>1046555059@qq.com</v>
      </c>
      <c r="P35" s="4">
        <f>""</f>
      </c>
      <c r="Q35" s="4" t="str">
        <f>"2017.06.01"</f>
        <v>2017.06.01</v>
      </c>
      <c r="R35" s="4" t="str">
        <f t="shared" si="13"/>
        <v>是</v>
      </c>
      <c r="S35" s="4" t="str">
        <f>"4:高级中学"</f>
        <v>4:高级中学</v>
      </c>
      <c r="T35" s="4" t="str">
        <f>"2017届毕业生填暂无"</f>
        <v>2017届毕业生填暂无</v>
      </c>
      <c r="U35" s="4" t="str">
        <f>"106841201705000711"</f>
        <v>106841201705000711</v>
      </c>
      <c r="V35" s="4" t="str">
        <f t="shared" si="2"/>
        <v>初中</v>
      </c>
      <c r="W35" s="4" t="str">
        <f t="shared" si="18"/>
        <v>207:地理</v>
      </c>
      <c r="X35" s="4" t="str">
        <f t="shared" si="4"/>
        <v>通过</v>
      </c>
    </row>
    <row r="36" spans="1:24" s="1" customFormat="1" ht="99.75">
      <c r="A36" s="4" t="str">
        <f>"4"</f>
        <v>4</v>
      </c>
      <c r="B36" s="4" t="str">
        <f>"秦文胜"</f>
        <v>秦文胜</v>
      </c>
      <c r="C36" s="4" t="str">
        <f t="shared" si="16"/>
        <v>男        </v>
      </c>
      <c r="D36" s="4" t="str">
        <f>"汉族"</f>
        <v>汉族</v>
      </c>
      <c r="E36" s="4" t="str">
        <f>"云南富源"</f>
        <v>云南富源</v>
      </c>
      <c r="F36" s="4" t="str">
        <f>"1992年10月"</f>
        <v>1992年10月</v>
      </c>
      <c r="G36" s="4" t="str">
        <f>"共青团员"</f>
        <v>共青团员</v>
      </c>
      <c r="H36" s="4" t="str">
        <f>"532225199210021753"</f>
        <v>532225199210021753</v>
      </c>
      <c r="I36" s="4" t="str">
        <f>"文山学院地理科学"</f>
        <v>文山学院地理科学</v>
      </c>
      <c r="J36" s="4" t="str">
        <f t="shared" si="17"/>
        <v>地理科学</v>
      </c>
      <c r="K36" s="4" t="str">
        <f>"本科学士"</f>
        <v>本科学士</v>
      </c>
      <c r="L36" s="4" t="str">
        <f>"13577665972"</f>
        <v>13577665972</v>
      </c>
      <c r="M36" s="4" t="str">
        <f t="shared" si="1"/>
        <v>隆林县</v>
      </c>
      <c r="N36" s="4" t="str">
        <f>"云南省曲靖市富源县十八连山镇庆头村委会海泥黑村72号"</f>
        <v>云南省曲靖市富源县十八连山镇庆头村委会海泥黑村72号</v>
      </c>
      <c r="O36" s="4" t="str">
        <f>"1598925618@qq.com"</f>
        <v>1598925618@qq.com</v>
      </c>
      <c r="P36" s="4">
        <f>""</f>
      </c>
      <c r="Q36" s="4" t="str">
        <f>"2017.07.01"</f>
        <v>2017.07.01</v>
      </c>
      <c r="R36" s="4" t="str">
        <f t="shared" si="13"/>
        <v>是</v>
      </c>
      <c r="S36" s="4" t="str">
        <f>"4:高级中学"</f>
        <v>4:高级中学</v>
      </c>
      <c r="T36" s="4" t="str">
        <f>"2017届毕业生填暂无"</f>
        <v>2017届毕业生填暂无</v>
      </c>
      <c r="U36" s="4" t="str">
        <f>"2017届毕业生填暂无"</f>
        <v>2017届毕业生填暂无</v>
      </c>
      <c r="V36" s="4" t="str">
        <f t="shared" si="2"/>
        <v>初中</v>
      </c>
      <c r="W36" s="4" t="str">
        <f t="shared" si="18"/>
        <v>207:地理</v>
      </c>
      <c r="X36" s="4" t="str">
        <f t="shared" si="4"/>
        <v>通过</v>
      </c>
    </row>
    <row r="37" spans="1:24" s="1" customFormat="1" ht="57">
      <c r="A37" s="4" t="str">
        <f>"5"</f>
        <v>5</v>
      </c>
      <c r="B37" s="4" t="str">
        <f>"段小兵"</f>
        <v>段小兵</v>
      </c>
      <c r="C37" s="4" t="str">
        <f t="shared" si="16"/>
        <v>男        </v>
      </c>
      <c r="D37" s="4" t="str">
        <f>"汉族"</f>
        <v>汉族</v>
      </c>
      <c r="E37" s="4" t="str">
        <f>"云南省曲靖市富源县"</f>
        <v>云南省曲靖市富源县</v>
      </c>
      <c r="F37" s="4" t="str">
        <f>"1989年05月"</f>
        <v>1989年05月</v>
      </c>
      <c r="G37" s="4" t="str">
        <f>"中共党员"</f>
        <v>中共党员</v>
      </c>
      <c r="H37" s="4" t="str">
        <f>"530325198905061478"</f>
        <v>530325198905061478</v>
      </c>
      <c r="I37" s="4" t="str">
        <f>"楚雄师范学院地理科学"</f>
        <v>楚雄师范学院地理科学</v>
      </c>
      <c r="J37" s="4" t="str">
        <f t="shared" si="17"/>
        <v>地理科学</v>
      </c>
      <c r="K37" s="4" t="str">
        <f>"本科无学位"</f>
        <v>本科无学位</v>
      </c>
      <c r="L37" s="4" t="str">
        <f>"15825100855"</f>
        <v>15825100855</v>
      </c>
      <c r="M37" s="4" t="str">
        <f t="shared" si="1"/>
        <v>隆林县</v>
      </c>
      <c r="N37" s="4" t="str">
        <f>"云南省曲靖市富源县富村镇"</f>
        <v>云南省曲靖市富源县富村镇</v>
      </c>
      <c r="O37" s="4" t="str">
        <f>"417346805@qq.com"</f>
        <v>417346805@qq.com</v>
      </c>
      <c r="P37" s="4">
        <f>""</f>
      </c>
      <c r="Q37" s="4" t="str">
        <f>"2016.03.01"</f>
        <v>2016.03.01</v>
      </c>
      <c r="R37" s="4" t="str">
        <f t="shared" si="13"/>
        <v>是</v>
      </c>
      <c r="S37" s="4" t="str">
        <f>"3:初级中学"</f>
        <v>3:初级中学</v>
      </c>
      <c r="T37" s="4" t="str">
        <f>"20125307431000390"</f>
        <v>20125307431000390</v>
      </c>
      <c r="U37" s="4" t="str">
        <f>"113915201605000078"</f>
        <v>113915201605000078</v>
      </c>
      <c r="V37" s="4" t="str">
        <f t="shared" si="2"/>
        <v>初中</v>
      </c>
      <c r="W37" s="4" t="str">
        <f t="shared" si="18"/>
        <v>207:地理</v>
      </c>
      <c r="X37" s="4" t="str">
        <f t="shared" si="4"/>
        <v>通过</v>
      </c>
    </row>
    <row r="38" spans="1:24" s="1" customFormat="1" ht="57">
      <c r="A38" s="4" t="str">
        <f>"6"</f>
        <v>6</v>
      </c>
      <c r="B38" s="4" t="str">
        <f>"柏定江"</f>
        <v>柏定江</v>
      </c>
      <c r="C38" s="4" t="str">
        <f t="shared" si="16"/>
        <v>男        </v>
      </c>
      <c r="D38" s="4" t="str">
        <f>"布依族"</f>
        <v>布依族</v>
      </c>
      <c r="E38" s="4" t="str">
        <f>"贵州省晴隆县"</f>
        <v>贵州省晴隆县</v>
      </c>
      <c r="F38" s="4" t="str">
        <f>"1992年06月"</f>
        <v>1992年06月</v>
      </c>
      <c r="G38" s="4" t="str">
        <f aca="true" t="shared" si="19" ref="G38:G48">"共青团员"</f>
        <v>共青团员</v>
      </c>
      <c r="H38" s="4" t="str">
        <f>"522324199206105214"</f>
        <v>522324199206105214</v>
      </c>
      <c r="I38" s="4" t="str">
        <f>"凯里学院地理科学"</f>
        <v>凯里学院地理科学</v>
      </c>
      <c r="J38" s="4" t="str">
        <f t="shared" si="17"/>
        <v>地理科学</v>
      </c>
      <c r="K38" s="4" t="str">
        <f>"本科学士"</f>
        <v>本科学士</v>
      </c>
      <c r="L38" s="4" t="str">
        <f>"13765532675"</f>
        <v>13765532675</v>
      </c>
      <c r="M38" s="4" t="str">
        <f t="shared" si="1"/>
        <v>隆林县</v>
      </c>
      <c r="N38" s="4" t="str">
        <f>"贵州省晴隆县中云镇新民村义拉组"</f>
        <v>贵州省晴隆县中云镇新民村义拉组</v>
      </c>
      <c r="O38" s="4" t="str">
        <f>"807985632@qq.com"</f>
        <v>807985632@qq.com</v>
      </c>
      <c r="P38" s="4">
        <f>""</f>
      </c>
      <c r="Q38" s="4" t="str">
        <f>"2016.07.01"</f>
        <v>2016.07.01</v>
      </c>
      <c r="R38" s="4" t="str">
        <f t="shared" si="13"/>
        <v>是</v>
      </c>
      <c r="S38" s="4" t="str">
        <f>"4:高级中学"</f>
        <v>4:高级中学</v>
      </c>
      <c r="T38" s="4" t="str">
        <f>"20165280041000649"</f>
        <v>20165280041000649</v>
      </c>
      <c r="U38" s="4" t="str">
        <f>"106691201605001448"</f>
        <v>106691201605001448</v>
      </c>
      <c r="V38" s="4" t="str">
        <f t="shared" si="2"/>
        <v>初中</v>
      </c>
      <c r="W38" s="4" t="str">
        <f t="shared" si="18"/>
        <v>207:地理</v>
      </c>
      <c r="X38" s="4" t="str">
        <f t="shared" si="4"/>
        <v>通过</v>
      </c>
    </row>
    <row r="39" spans="1:24" s="1" customFormat="1" ht="71.25">
      <c r="A39" s="4" t="str">
        <f>"7"</f>
        <v>7</v>
      </c>
      <c r="B39" s="4" t="str">
        <f>"黄敏"</f>
        <v>黄敏</v>
      </c>
      <c r="C39" s="4" t="str">
        <f>"女        "</f>
        <v>女        </v>
      </c>
      <c r="D39" s="4" t="str">
        <f>"布依族"</f>
        <v>布依族</v>
      </c>
      <c r="E39" s="4" t="str">
        <f>"贵州贞丰"</f>
        <v>贵州贞丰</v>
      </c>
      <c r="F39" s="4" t="str">
        <f>"1992年01月"</f>
        <v>1992年01月</v>
      </c>
      <c r="G39" s="4" t="str">
        <f t="shared" si="19"/>
        <v>共青团员</v>
      </c>
      <c r="H39" s="4" t="str">
        <f>"522325199201281629"</f>
        <v>522325199201281629</v>
      </c>
      <c r="I39" s="4" t="str">
        <f>"黔南民族师范学院地理科学"</f>
        <v>黔南民族师范学院地理科学</v>
      </c>
      <c r="J39" s="4" t="str">
        <f t="shared" si="17"/>
        <v>地理科学</v>
      </c>
      <c r="K39" s="4" t="str">
        <f>"本科学士"</f>
        <v>本科学士</v>
      </c>
      <c r="L39" s="4" t="str">
        <f>"18385655365"</f>
        <v>18385655365</v>
      </c>
      <c r="M39" s="4" t="str">
        <f t="shared" si="1"/>
        <v>隆林县</v>
      </c>
      <c r="N39" s="4" t="str">
        <f>"贵州省贞丰县龙场镇坪坝村凉伞田组"</f>
        <v>贵州省贞丰县龙场镇坪坝村凉伞田组</v>
      </c>
      <c r="O39" s="4" t="str">
        <f>"1947656411@qq.com"</f>
        <v>1947656411@qq.com</v>
      </c>
      <c r="P39" s="4">
        <f>""</f>
      </c>
      <c r="Q39" s="4" t="str">
        <f>"2017.07.01"</f>
        <v>2017.07.01</v>
      </c>
      <c r="R39" s="4" t="str">
        <f t="shared" si="13"/>
        <v>是</v>
      </c>
      <c r="S39" s="4" t="str">
        <f>"4:高级中学"</f>
        <v>4:高级中学</v>
      </c>
      <c r="T39" s="4" t="str">
        <f>"2017届毕业生填暂无"</f>
        <v>2017届毕业生填暂无</v>
      </c>
      <c r="U39" s="4" t="str">
        <f>"2017届毕业生填暂无"</f>
        <v>2017届毕业生填暂无</v>
      </c>
      <c r="V39" s="4" t="str">
        <f t="shared" si="2"/>
        <v>初中</v>
      </c>
      <c r="W39" s="4" t="str">
        <f t="shared" si="18"/>
        <v>207:地理</v>
      </c>
      <c r="X39" s="4" t="str">
        <f t="shared" si="4"/>
        <v>通过</v>
      </c>
    </row>
    <row r="40" spans="1:24" s="1" customFormat="1" ht="57">
      <c r="A40" s="4" t="str">
        <f>"8"</f>
        <v>8</v>
      </c>
      <c r="B40" s="4" t="str">
        <f>"尚教忠"</f>
        <v>尚教忠</v>
      </c>
      <c r="C40" s="4" t="str">
        <f>"男        "</f>
        <v>男        </v>
      </c>
      <c r="D40" s="4" t="str">
        <f>"仡佬族"</f>
        <v>仡佬族</v>
      </c>
      <c r="E40" s="4" t="str">
        <f>"贵州省兴仁县"</f>
        <v>贵州省兴仁县</v>
      </c>
      <c r="F40" s="4" t="str">
        <f>"1994年03月"</f>
        <v>1994年03月</v>
      </c>
      <c r="G40" s="4" t="str">
        <f t="shared" si="19"/>
        <v>共青团员</v>
      </c>
      <c r="H40" s="4" t="str">
        <f>"522322199403262056"</f>
        <v>522322199403262056</v>
      </c>
      <c r="I40" s="4" t="str">
        <f>"凯里学院地理科学"</f>
        <v>凯里学院地理科学</v>
      </c>
      <c r="J40" s="4" t="str">
        <f t="shared" si="17"/>
        <v>地理科学</v>
      </c>
      <c r="K40" s="4" t="str">
        <f>"本科学士"</f>
        <v>本科学士</v>
      </c>
      <c r="L40" s="4" t="str">
        <f>"13765532331"</f>
        <v>13765532331</v>
      </c>
      <c r="M40" s="4" t="str">
        <f t="shared" si="1"/>
        <v>隆林县</v>
      </c>
      <c r="N40" s="4" t="str">
        <f>"贵州省兴仁县回龙镇"</f>
        <v>贵州省兴仁县回龙镇</v>
      </c>
      <c r="O40" s="4" t="str">
        <f>"1075150501@qq.com"</f>
        <v>1075150501@qq.com</v>
      </c>
      <c r="P40" s="4">
        <f>""</f>
      </c>
      <c r="Q40" s="4" t="str">
        <f>"2016.07.01"</f>
        <v>2016.07.01</v>
      </c>
      <c r="R40" s="4" t="str">
        <f t="shared" si="13"/>
        <v>是</v>
      </c>
      <c r="S40" s="4" t="str">
        <f>"4:高级中学"</f>
        <v>4:高级中学</v>
      </c>
      <c r="T40" s="4" t="str">
        <f>"20165280041000718"</f>
        <v>20165280041000718</v>
      </c>
      <c r="U40" s="4" t="str">
        <f>"106691201605001447"</f>
        <v>106691201605001447</v>
      </c>
      <c r="V40" s="4" t="str">
        <f t="shared" si="2"/>
        <v>初中</v>
      </c>
      <c r="W40" s="4" t="str">
        <f t="shared" si="18"/>
        <v>207:地理</v>
      </c>
      <c r="X40" s="4" t="str">
        <f t="shared" si="4"/>
        <v>通过</v>
      </c>
    </row>
    <row r="41" spans="1:24" s="1" customFormat="1" ht="85.5">
      <c r="A41" s="4" t="str">
        <f>"9"</f>
        <v>9</v>
      </c>
      <c r="B41" s="4" t="str">
        <f>"胡琦昌"</f>
        <v>胡琦昌</v>
      </c>
      <c r="C41" s="4" t="str">
        <f>"男        "</f>
        <v>男        </v>
      </c>
      <c r="D41" s="4" t="str">
        <f>"白族"</f>
        <v>白族</v>
      </c>
      <c r="E41" s="4" t="str">
        <f>"云南省保山市隆阳区"</f>
        <v>云南省保山市隆阳区</v>
      </c>
      <c r="F41" s="4" t="str">
        <f>"1996年03月"</f>
        <v>1996年03月</v>
      </c>
      <c r="G41" s="4" t="str">
        <f t="shared" si="19"/>
        <v>共青团员</v>
      </c>
      <c r="H41" s="4" t="str">
        <f>"533001199603082417"</f>
        <v>533001199603082417</v>
      </c>
      <c r="I41" s="4" t="str">
        <f>"昭通学院地理教育"</f>
        <v>昭通学院地理教育</v>
      </c>
      <c r="J41" s="4" t="str">
        <f>"地理教育"</f>
        <v>地理教育</v>
      </c>
      <c r="K41" s="4" t="str">
        <f>"专科无学位"</f>
        <v>专科无学位</v>
      </c>
      <c r="L41" s="4" t="str">
        <f>"13408845005"</f>
        <v>13408845005</v>
      </c>
      <c r="M41" s="4" t="str">
        <f t="shared" si="1"/>
        <v>隆林县</v>
      </c>
      <c r="N41" s="4" t="str">
        <f>"云南省保山市隆阳区芒宽乡西亚村委会盐场2组"</f>
        <v>云南省保山市隆阳区芒宽乡西亚村委会盐场2组</v>
      </c>
      <c r="O41" s="4" t="str">
        <f>"935887123@qq.com"</f>
        <v>935887123@qq.com</v>
      </c>
      <c r="P41" s="4">
        <f>""</f>
      </c>
      <c r="Q41" s="4" t="str">
        <f>"2017.07.01"</f>
        <v>2017.07.01</v>
      </c>
      <c r="R41" s="4" t="str">
        <f t="shared" si="13"/>
        <v>是</v>
      </c>
      <c r="S41" s="4" t="str">
        <f>"3:初级中学"</f>
        <v>3:初级中学</v>
      </c>
      <c r="T41" s="4" t="str">
        <f>"暂无"</f>
        <v>暂无</v>
      </c>
      <c r="U41" s="4" t="str">
        <f>"暂无"</f>
        <v>暂无</v>
      </c>
      <c r="V41" s="4" t="str">
        <f t="shared" si="2"/>
        <v>初中</v>
      </c>
      <c r="W41" s="4" t="str">
        <f t="shared" si="18"/>
        <v>207:地理</v>
      </c>
      <c r="X41" s="4" t="str">
        <f t="shared" si="4"/>
        <v>通过</v>
      </c>
    </row>
    <row r="42" spans="1:24" s="1" customFormat="1" ht="71.25">
      <c r="A42" s="4" t="str">
        <f>"10"</f>
        <v>10</v>
      </c>
      <c r="B42" s="4" t="str">
        <f>"刘林林"</f>
        <v>刘林林</v>
      </c>
      <c r="C42" s="4" t="str">
        <f>"女        "</f>
        <v>女        </v>
      </c>
      <c r="D42" s="4" t="str">
        <f>"汉族"</f>
        <v>汉族</v>
      </c>
      <c r="E42" s="4" t="str">
        <f>"贵州省兴仁县"</f>
        <v>贵州省兴仁县</v>
      </c>
      <c r="F42" s="4" t="str">
        <f>"1993年11月"</f>
        <v>1993年11月</v>
      </c>
      <c r="G42" s="4" t="str">
        <f t="shared" si="19"/>
        <v>共青团员</v>
      </c>
      <c r="H42" s="4" t="str">
        <f>"522322199311292362"</f>
        <v>522322199311292362</v>
      </c>
      <c r="I42" s="4" t="str">
        <f>"黔南民族师范学院地理科学"</f>
        <v>黔南民族师范学院地理科学</v>
      </c>
      <c r="J42" s="4" t="str">
        <f>"地理科学"</f>
        <v>地理科学</v>
      </c>
      <c r="K42" s="4" t="str">
        <f>"本科学士"</f>
        <v>本科学士</v>
      </c>
      <c r="L42" s="4" t="str">
        <f>"18224926002"</f>
        <v>18224926002</v>
      </c>
      <c r="M42" s="4" t="str">
        <f t="shared" si="1"/>
        <v>隆林县</v>
      </c>
      <c r="N42" s="4" t="str">
        <f>"贵州省兴仁县下山镇大坝村野公寨组4号"</f>
        <v>贵州省兴仁县下山镇大坝村野公寨组4号</v>
      </c>
      <c r="O42" s="4" t="str">
        <f>"1329927001@qq.com"</f>
        <v>1329927001@qq.com</v>
      </c>
      <c r="P42" s="4">
        <f>""</f>
      </c>
      <c r="Q42" s="4" t="str">
        <f>"2017.07.01"</f>
        <v>2017.07.01</v>
      </c>
      <c r="R42" s="4" t="str">
        <f t="shared" si="13"/>
        <v>是</v>
      </c>
      <c r="S42" s="4" t="str">
        <f>"4:高级中学"</f>
        <v>4:高级中学</v>
      </c>
      <c r="T42" s="4" t="str">
        <f>"2017届毕业生填暂无"</f>
        <v>2017届毕业生填暂无</v>
      </c>
      <c r="U42" s="4" t="str">
        <f>"2017届毕业生填暂无"</f>
        <v>2017届毕业生填暂无</v>
      </c>
      <c r="V42" s="4" t="str">
        <f t="shared" si="2"/>
        <v>初中</v>
      </c>
      <c r="W42" s="4" t="str">
        <f t="shared" si="18"/>
        <v>207:地理</v>
      </c>
      <c r="X42" s="4" t="str">
        <f t="shared" si="4"/>
        <v>通过</v>
      </c>
    </row>
    <row r="43" spans="1:24" s="1" customFormat="1" ht="71.25">
      <c r="A43" s="4" t="str">
        <f>"11"</f>
        <v>11</v>
      </c>
      <c r="B43" s="4" t="str">
        <f>"王德先"</f>
        <v>王德先</v>
      </c>
      <c r="C43" s="4" t="str">
        <f>"女        "</f>
        <v>女        </v>
      </c>
      <c r="D43" s="4" t="str">
        <f>"布依族"</f>
        <v>布依族</v>
      </c>
      <c r="E43" s="4" t="str">
        <f>"贵州省安龙县"</f>
        <v>贵州省安龙县</v>
      </c>
      <c r="F43" s="4" t="str">
        <f>"1993年12月"</f>
        <v>1993年12月</v>
      </c>
      <c r="G43" s="4" t="str">
        <f t="shared" si="19"/>
        <v>共青团员</v>
      </c>
      <c r="H43" s="4" t="str">
        <f>"522328199312175721"</f>
        <v>522328199312175721</v>
      </c>
      <c r="I43" s="4" t="str">
        <f>"黔南民族师范学院地理科学"</f>
        <v>黔南民族师范学院地理科学</v>
      </c>
      <c r="J43" s="4" t="str">
        <f>"地理科学"</f>
        <v>地理科学</v>
      </c>
      <c r="K43" s="4" t="str">
        <f>"本科学士"</f>
        <v>本科学士</v>
      </c>
      <c r="L43" s="4" t="str">
        <f>"18385655433"</f>
        <v>18385655433</v>
      </c>
      <c r="M43" s="4" t="str">
        <f t="shared" si="1"/>
        <v>隆林县</v>
      </c>
      <c r="N43" s="4" t="str">
        <f>"贵州省安龙县新桥镇巧烂村巧烂组"</f>
        <v>贵州省安龙县新桥镇巧烂村巧烂组</v>
      </c>
      <c r="O43" s="4" t="str">
        <f>"1298722409@qq.com"</f>
        <v>1298722409@qq.com</v>
      </c>
      <c r="P43" s="4">
        <f>""</f>
      </c>
      <c r="Q43" s="4" t="str">
        <f>"2017.07.01"</f>
        <v>2017.07.01</v>
      </c>
      <c r="R43" s="4" t="str">
        <f t="shared" si="13"/>
        <v>是</v>
      </c>
      <c r="S43" s="4" t="str">
        <f>"4:高级中学"</f>
        <v>4:高级中学</v>
      </c>
      <c r="T43" s="4" t="str">
        <f>"2017届毕业生填暂无"</f>
        <v>2017届毕业生填暂无</v>
      </c>
      <c r="U43" s="4" t="str">
        <f>"2017届毕业生填暂无"</f>
        <v>2017届毕业生填暂无</v>
      </c>
      <c r="V43" s="4" t="str">
        <f t="shared" si="2"/>
        <v>初中</v>
      </c>
      <c r="W43" s="4" t="str">
        <f t="shared" si="18"/>
        <v>207:地理</v>
      </c>
      <c r="X43" s="4" t="str">
        <f t="shared" si="4"/>
        <v>通过</v>
      </c>
    </row>
    <row r="44" spans="1:24" s="1" customFormat="1" ht="85.5">
      <c r="A44" s="4" t="str">
        <f>"12"</f>
        <v>12</v>
      </c>
      <c r="B44" s="4" t="str">
        <f>"殷跃坤"</f>
        <v>殷跃坤</v>
      </c>
      <c r="C44" s="4" t="str">
        <f>"男        "</f>
        <v>男        </v>
      </c>
      <c r="D44" s="4" t="str">
        <f>"汉族"</f>
        <v>汉族</v>
      </c>
      <c r="E44" s="4" t="str">
        <f>"云南师宗"</f>
        <v>云南师宗</v>
      </c>
      <c r="F44" s="4" t="str">
        <f>"1991年03月"</f>
        <v>1991年03月</v>
      </c>
      <c r="G44" s="4" t="str">
        <f t="shared" si="19"/>
        <v>共青团员</v>
      </c>
      <c r="H44" s="4" t="str">
        <f>"53032319910304087X"</f>
        <v>53032319910304087X</v>
      </c>
      <c r="I44" s="4" t="str">
        <f>"文山学院地理教育"</f>
        <v>文山学院地理教育</v>
      </c>
      <c r="J44" s="4" t="str">
        <f>"地理教育"</f>
        <v>地理教育</v>
      </c>
      <c r="K44" s="4" t="str">
        <f>"专科无学位"</f>
        <v>专科无学位</v>
      </c>
      <c r="L44" s="4" t="str">
        <f>"18896322381"</f>
        <v>18896322381</v>
      </c>
      <c r="M44" s="4" t="str">
        <f t="shared" si="1"/>
        <v>隆林县</v>
      </c>
      <c r="N44" s="4" t="str">
        <f>"云南省曲靖市师宗县竹基镇坞白村委会下补召村67号"</f>
        <v>云南省曲靖市师宗县竹基镇坞白村委会下补召村67号</v>
      </c>
      <c r="O44" s="4" t="str">
        <f>"1579544297@qq.com"</f>
        <v>1579544297@qq.com</v>
      </c>
      <c r="P44" s="4" t="str">
        <f>"2015.09.01"</f>
        <v>2015.09.01</v>
      </c>
      <c r="Q44" s="4" t="str">
        <f>"2015.07.01"</f>
        <v>2015.07.01</v>
      </c>
      <c r="R44" s="4" t="str">
        <f t="shared" si="13"/>
        <v>是</v>
      </c>
      <c r="S44" s="4" t="str">
        <f>"3:初级中学"</f>
        <v>3:初级中学</v>
      </c>
      <c r="T44" s="4" t="str">
        <f>"20155307431000662"</f>
        <v>20155307431000662</v>
      </c>
      <c r="U44" s="4" t="str">
        <f>"115561201506000772"</f>
        <v>115561201506000772</v>
      </c>
      <c r="V44" s="4" t="str">
        <f t="shared" si="2"/>
        <v>初中</v>
      </c>
      <c r="W44" s="4" t="str">
        <f t="shared" si="18"/>
        <v>207:地理</v>
      </c>
      <c r="X44" s="4" t="str">
        <f t="shared" si="4"/>
        <v>通过</v>
      </c>
    </row>
    <row r="45" spans="1:24" s="1" customFormat="1" ht="85.5">
      <c r="A45" s="4" t="str">
        <f>"13"</f>
        <v>13</v>
      </c>
      <c r="B45" s="4" t="str">
        <f>"康泽波"</f>
        <v>康泽波</v>
      </c>
      <c r="C45" s="4" t="str">
        <f>"女        "</f>
        <v>女        </v>
      </c>
      <c r="D45" s="4" t="str">
        <f>"汉族"</f>
        <v>汉族</v>
      </c>
      <c r="E45" s="4" t="str">
        <f>"云南文山丘北"</f>
        <v>云南文山丘北</v>
      </c>
      <c r="F45" s="4" t="str">
        <f>"1995年02月"</f>
        <v>1995年02月</v>
      </c>
      <c r="G45" s="4" t="str">
        <f t="shared" si="19"/>
        <v>共青团员</v>
      </c>
      <c r="H45" s="4" t="str">
        <f>"532626199502052728"</f>
        <v>532626199502052728</v>
      </c>
      <c r="I45" s="4" t="str">
        <f>"文山学院地理教育"</f>
        <v>文山学院地理教育</v>
      </c>
      <c r="J45" s="4" t="str">
        <f>"地理教育"</f>
        <v>地理教育</v>
      </c>
      <c r="K45" s="4" t="str">
        <f>"专科无学位"</f>
        <v>专科无学位</v>
      </c>
      <c r="L45" s="4" t="str">
        <f>"18388636338"</f>
        <v>18388636338</v>
      </c>
      <c r="M45" s="4" t="str">
        <f t="shared" si="1"/>
        <v>隆林县</v>
      </c>
      <c r="N45" s="4" t="str">
        <f>"云南省文山州丘北县温浏乡干石洞村民委蒿塘村小组"</f>
        <v>云南省文山州丘北县温浏乡干石洞村民委蒿塘村小组</v>
      </c>
      <c r="O45" s="4" t="str">
        <f>"404736659@qq.com"</f>
        <v>404736659@qq.com</v>
      </c>
      <c r="P45" s="4">
        <f>""</f>
      </c>
      <c r="Q45" s="4" t="str">
        <f>"2017.07.01"</f>
        <v>2017.07.01</v>
      </c>
      <c r="R45" s="4" t="str">
        <f t="shared" si="13"/>
        <v>是</v>
      </c>
      <c r="S45" s="4" t="str">
        <f>"3:初级中学"</f>
        <v>3:初级中学</v>
      </c>
      <c r="T45" s="4" t="str">
        <f>"暂无"</f>
        <v>暂无</v>
      </c>
      <c r="U45" s="4" t="str">
        <f>"暂无"</f>
        <v>暂无</v>
      </c>
      <c r="V45" s="4" t="str">
        <f t="shared" si="2"/>
        <v>初中</v>
      </c>
      <c r="W45" s="4" t="str">
        <f t="shared" si="18"/>
        <v>207:地理</v>
      </c>
      <c r="X45" s="4" t="str">
        <f t="shared" si="4"/>
        <v>通过</v>
      </c>
    </row>
    <row r="46" spans="1:24" s="1" customFormat="1" ht="57">
      <c r="A46" s="4" t="str">
        <f>"14"</f>
        <v>14</v>
      </c>
      <c r="B46" s="4" t="str">
        <f>"农海琪"</f>
        <v>农海琪</v>
      </c>
      <c r="C46" s="4" t="str">
        <f>"女        "</f>
        <v>女        </v>
      </c>
      <c r="D46" s="4" t="str">
        <f>"壮族"</f>
        <v>壮族</v>
      </c>
      <c r="E46" s="4" t="str">
        <f>"广西隆林"</f>
        <v>广西隆林</v>
      </c>
      <c r="F46" s="4" t="str">
        <f>"1993年12月"</f>
        <v>1993年12月</v>
      </c>
      <c r="G46" s="4" t="str">
        <f t="shared" si="19"/>
        <v>共青团员</v>
      </c>
      <c r="H46" s="4" t="str">
        <f>"452631199312280026"</f>
        <v>452631199312280026</v>
      </c>
      <c r="I46" s="4" t="str">
        <f>"广西民族大学法学"</f>
        <v>广西民族大学法学</v>
      </c>
      <c r="J46" s="4" t="str">
        <f>"法学"</f>
        <v>法学</v>
      </c>
      <c r="K46" s="4" t="str">
        <f>"本科学士"</f>
        <v>本科学士</v>
      </c>
      <c r="L46" s="4" t="str">
        <f>"15578022014"</f>
        <v>15578022014</v>
      </c>
      <c r="M46" s="4" t="str">
        <f t="shared" si="1"/>
        <v>隆林县</v>
      </c>
      <c r="N46" s="4" t="str">
        <f>"广西百色市隆林县新兴社区红染"</f>
        <v>广西百色市隆林县新兴社区红染</v>
      </c>
      <c r="O46" s="4" t="str">
        <f>"594682683@qq.com"</f>
        <v>594682683@qq.com</v>
      </c>
      <c r="P46" s="4">
        <f>""</f>
      </c>
      <c r="Q46" s="4" t="str">
        <f>"2017.07.01"</f>
        <v>2017.07.01</v>
      </c>
      <c r="R46" s="4" t="str">
        <f>"不是"</f>
        <v>不是</v>
      </c>
      <c r="S46" s="4" t="str">
        <f>"4:高级中学"</f>
        <v>4:高级中学</v>
      </c>
      <c r="T46" s="4" t="str">
        <f>"暂无"</f>
        <v>暂无</v>
      </c>
      <c r="U46" s="4" t="str">
        <f>"暂无"</f>
        <v>暂无</v>
      </c>
      <c r="V46" s="4" t="str">
        <f t="shared" si="2"/>
        <v>初中</v>
      </c>
      <c r="W46" s="4" t="str">
        <f t="shared" si="18"/>
        <v>207:地理</v>
      </c>
      <c r="X46" s="4" t="str">
        <f t="shared" si="4"/>
        <v>通过</v>
      </c>
    </row>
    <row r="47" spans="1:24" s="1" customFormat="1" ht="57">
      <c r="A47" s="4" t="str">
        <f>"15"</f>
        <v>15</v>
      </c>
      <c r="B47" s="4" t="str">
        <f>"张昌英"</f>
        <v>张昌英</v>
      </c>
      <c r="C47" s="4" t="str">
        <f>"女        "</f>
        <v>女        </v>
      </c>
      <c r="D47" s="4" t="str">
        <f>"布依族"</f>
        <v>布依族</v>
      </c>
      <c r="E47" s="4" t="str">
        <f>"贵州省安龙县"</f>
        <v>贵州省安龙县</v>
      </c>
      <c r="F47" s="4" t="str">
        <f>"1993年01月"</f>
        <v>1993年01月</v>
      </c>
      <c r="G47" s="4" t="str">
        <f t="shared" si="19"/>
        <v>共青团员</v>
      </c>
      <c r="H47" s="4" t="str">
        <f>"522328199301160823"</f>
        <v>522328199301160823</v>
      </c>
      <c r="I47" s="4" t="str">
        <f>"安顺学院地理科学"</f>
        <v>安顺学院地理科学</v>
      </c>
      <c r="J47" s="4" t="str">
        <f>"地理科学"</f>
        <v>地理科学</v>
      </c>
      <c r="K47" s="4" t="str">
        <f>"本科学士"</f>
        <v>本科学士</v>
      </c>
      <c r="L47" s="4" t="str">
        <f>"13985309829"</f>
        <v>13985309829</v>
      </c>
      <c r="M47" s="4" t="str">
        <f t="shared" si="1"/>
        <v>隆林县</v>
      </c>
      <c r="N47" s="4" t="str">
        <f>"贵州省安龙县龙广镇顾屯村"</f>
        <v>贵州省安龙县龙广镇顾屯村</v>
      </c>
      <c r="O47" s="4" t="str">
        <f>"1665512890@qq.com"</f>
        <v>1665512890@qq.com</v>
      </c>
      <c r="P47" s="4">
        <f>""</f>
      </c>
      <c r="Q47" s="4" t="str">
        <f>"2016.05.01"</f>
        <v>2016.05.01</v>
      </c>
      <c r="R47" s="4" t="str">
        <f>"是"</f>
        <v>是</v>
      </c>
      <c r="S47" s="4" t="str">
        <f>"4:高级中学"</f>
        <v>4:高级中学</v>
      </c>
      <c r="T47" s="4" t="str">
        <f>"20165230042000047"</f>
        <v>20165230042000047</v>
      </c>
      <c r="U47" s="4" t="str">
        <f>"106671201605001038"</f>
        <v>106671201605001038</v>
      </c>
      <c r="V47" s="4" t="str">
        <f t="shared" si="2"/>
        <v>初中</v>
      </c>
      <c r="W47" s="4" t="str">
        <f t="shared" si="18"/>
        <v>207:地理</v>
      </c>
      <c r="X47" s="4" t="str">
        <f t="shared" si="4"/>
        <v>通过</v>
      </c>
    </row>
    <row r="48" spans="1:24" s="1" customFormat="1" ht="71.25">
      <c r="A48" s="4" t="str">
        <f>"16"</f>
        <v>16</v>
      </c>
      <c r="B48" s="4" t="str">
        <f>"王党"</f>
        <v>王党</v>
      </c>
      <c r="C48" s="4" t="str">
        <f>"男        "</f>
        <v>男        </v>
      </c>
      <c r="D48" s="4" t="str">
        <f>"汉族"</f>
        <v>汉族</v>
      </c>
      <c r="E48" s="4" t="str">
        <f>"云南省曲靖市富源县大"</f>
        <v>云南省曲靖市富源县大</v>
      </c>
      <c r="F48" s="4" t="str">
        <f>"1990年02月"</f>
        <v>1990年02月</v>
      </c>
      <c r="G48" s="4" t="str">
        <f t="shared" si="19"/>
        <v>共青团员</v>
      </c>
      <c r="H48" s="4" t="str">
        <f>"532225199002220715"</f>
        <v>532225199002220715</v>
      </c>
      <c r="I48" s="4" t="str">
        <f>"文山学院地理教育"</f>
        <v>文山学院地理教育</v>
      </c>
      <c r="J48" s="4" t="str">
        <f>"地理教育"</f>
        <v>地理教育</v>
      </c>
      <c r="K48" s="4" t="str">
        <f>"专科无学位"</f>
        <v>专科无学位</v>
      </c>
      <c r="L48" s="4" t="str">
        <f>"15198700889"</f>
        <v>15198700889</v>
      </c>
      <c r="M48" s="4" t="str">
        <f t="shared" si="1"/>
        <v>隆林县</v>
      </c>
      <c r="N48" s="4" t="str">
        <f>"云南省曲靖市富源县大河镇青龙村委会黑冲村"</f>
        <v>云南省曲靖市富源县大河镇青龙村委会黑冲村</v>
      </c>
      <c r="O48" s="4" t="str">
        <f>"1239114807@qq.com"</f>
        <v>1239114807@qq.com</v>
      </c>
      <c r="P48" s="4" t="str">
        <f>"2016.03.01"</f>
        <v>2016.03.01</v>
      </c>
      <c r="Q48" s="4" t="str">
        <f>"2015.06.01"</f>
        <v>2015.06.01</v>
      </c>
      <c r="R48" s="4" t="str">
        <f>"是"</f>
        <v>是</v>
      </c>
      <c r="S48" s="4" t="str">
        <f>"3:初级中学"</f>
        <v>3:初级中学</v>
      </c>
      <c r="T48" s="4" t="str">
        <f>"20165303231000221"</f>
        <v>20165303231000221</v>
      </c>
      <c r="U48" s="4" t="str">
        <f>"115561201506000580"</f>
        <v>115561201506000580</v>
      </c>
      <c r="V48" s="4" t="str">
        <f t="shared" si="2"/>
        <v>初中</v>
      </c>
      <c r="W48" s="4" t="str">
        <f t="shared" si="18"/>
        <v>207:地理</v>
      </c>
      <c r="X48" s="4" t="str">
        <f t="shared" si="4"/>
        <v>通过</v>
      </c>
    </row>
    <row r="49" spans="1:24" s="1" customFormat="1" ht="85.5">
      <c r="A49" s="4" t="str">
        <f>"17"</f>
        <v>17</v>
      </c>
      <c r="B49" s="4" t="str">
        <f>"黄翠莲"</f>
        <v>黄翠莲</v>
      </c>
      <c r="C49" s="4" t="str">
        <f>"女        "</f>
        <v>女        </v>
      </c>
      <c r="D49" s="4" t="str">
        <f>"汉族"</f>
        <v>汉族</v>
      </c>
      <c r="E49" s="4" t="str">
        <f>"云南省"</f>
        <v>云南省</v>
      </c>
      <c r="F49" s="4" t="str">
        <f>"1993年12月"</f>
        <v>1993年12月</v>
      </c>
      <c r="G49" s="4" t="str">
        <f>"中共党员"</f>
        <v>中共党员</v>
      </c>
      <c r="H49" s="4" t="str">
        <f>"532225199312091541"</f>
        <v>532225199312091541</v>
      </c>
      <c r="I49" s="4" t="str">
        <f>"保山学院地理教育"</f>
        <v>保山学院地理教育</v>
      </c>
      <c r="J49" s="4" t="str">
        <f>"地理教育"</f>
        <v>地理教育</v>
      </c>
      <c r="K49" s="4" t="str">
        <f>"专科无学位"</f>
        <v>专科无学位</v>
      </c>
      <c r="L49" s="4" t="str">
        <f>"18725259834"</f>
        <v>18725259834</v>
      </c>
      <c r="M49" s="4" t="str">
        <f t="shared" si="1"/>
        <v>隆林县</v>
      </c>
      <c r="N49" s="4" t="str">
        <f>"云南省曲靖市富源县黄泥河镇阿汪村委会上阿勒村73号"</f>
        <v>云南省曲靖市富源县黄泥河镇阿汪村委会上阿勒村73号</v>
      </c>
      <c r="O49" s="4" t="str">
        <f>"619211762@qq.com"</f>
        <v>619211762@qq.com</v>
      </c>
      <c r="P49" s="4" t="str">
        <f>"2017.03.01"</f>
        <v>2017.03.01</v>
      </c>
      <c r="Q49" s="4" t="str">
        <f>"2014.07.01"</f>
        <v>2014.07.01</v>
      </c>
      <c r="R49" s="4" t="str">
        <f>"是"</f>
        <v>是</v>
      </c>
      <c r="S49" s="4" t="str">
        <f>"3:初级中学"</f>
        <v>3:初级中学</v>
      </c>
      <c r="T49" s="4" t="str">
        <f>"20155303232000038"</f>
        <v>20155303232000038</v>
      </c>
      <c r="U49" s="4" t="str">
        <f>"106861201406000631"</f>
        <v>106861201406000631</v>
      </c>
      <c r="V49" s="4" t="str">
        <f t="shared" si="2"/>
        <v>初中</v>
      </c>
      <c r="W49" s="4" t="str">
        <f t="shared" si="18"/>
        <v>207:地理</v>
      </c>
      <c r="X49" s="4" t="str">
        <f t="shared" si="4"/>
        <v>通过</v>
      </c>
    </row>
    <row r="50" spans="1:24" s="1" customFormat="1" ht="85.5">
      <c r="A50" s="4" t="str">
        <f>"18"</f>
        <v>18</v>
      </c>
      <c r="B50" s="4" t="str">
        <f>"秦雪"</f>
        <v>秦雪</v>
      </c>
      <c r="C50" s="4" t="str">
        <f>"女        "</f>
        <v>女        </v>
      </c>
      <c r="D50" s="4" t="str">
        <f>"汉族"</f>
        <v>汉族</v>
      </c>
      <c r="E50" s="4" t="str">
        <f>"云南师宗"</f>
        <v>云南师宗</v>
      </c>
      <c r="F50" s="4" t="str">
        <f>"1994年12月"</f>
        <v>1994年12月</v>
      </c>
      <c r="G50" s="4" t="str">
        <f>"中共党员"</f>
        <v>中共党员</v>
      </c>
      <c r="H50" s="4" t="str">
        <f>"530323199412030720"</f>
        <v>530323199412030720</v>
      </c>
      <c r="I50" s="4" t="str">
        <f>"曲靖师范学院地理科学"</f>
        <v>曲靖师范学院地理科学</v>
      </c>
      <c r="J50" s="4" t="str">
        <f>"地理科学"</f>
        <v>地理科学</v>
      </c>
      <c r="K50" s="4" t="str">
        <f>"本科学士"</f>
        <v>本科学士</v>
      </c>
      <c r="L50" s="4" t="str">
        <f>"18388311685"</f>
        <v>18388311685</v>
      </c>
      <c r="M50" s="4" t="str">
        <f t="shared" si="1"/>
        <v>隆林县</v>
      </c>
      <c r="N50" s="4" t="str">
        <f>"云南省曲靖市师宗县竹基乡抵鲁村委会小龙甸村"</f>
        <v>云南省曲靖市师宗县竹基乡抵鲁村委会小龙甸村</v>
      </c>
      <c r="O50" s="4" t="str">
        <f>"1120021502@qq.com"</f>
        <v>1120021502@qq.com</v>
      </c>
      <c r="P50" s="4">
        <f>""</f>
      </c>
      <c r="Q50" s="4" t="str">
        <f>"2017.06.01"</f>
        <v>2017.06.01</v>
      </c>
      <c r="R50" s="4" t="str">
        <f>"是"</f>
        <v>是</v>
      </c>
      <c r="S50" s="4" t="str">
        <f>"4:高级中学"</f>
        <v>4:高级中学</v>
      </c>
      <c r="T50" s="4" t="str">
        <f>"2017届毕业生填暂无"</f>
        <v>2017届毕业生填暂无</v>
      </c>
      <c r="U50" s="4" t="str">
        <f>"106841201705001595"</f>
        <v>106841201705001595</v>
      </c>
      <c r="V50" s="4" t="str">
        <f t="shared" si="2"/>
        <v>初中</v>
      </c>
      <c r="W50" s="4" t="str">
        <f t="shared" si="18"/>
        <v>207:地理</v>
      </c>
      <c r="X50" s="4" t="str">
        <f t="shared" si="4"/>
        <v>通过</v>
      </c>
    </row>
    <row r="51" spans="1:24" s="1" customFormat="1" ht="71.25">
      <c r="A51" s="4" t="str">
        <f>"19"</f>
        <v>19</v>
      </c>
      <c r="B51" s="4" t="str">
        <f>"张金旭"</f>
        <v>张金旭</v>
      </c>
      <c r="C51" s="4" t="str">
        <f>"男        "</f>
        <v>男        </v>
      </c>
      <c r="D51" s="4" t="str">
        <f>"汉族"</f>
        <v>汉族</v>
      </c>
      <c r="E51" s="4" t="str">
        <f>"云南曲靖"</f>
        <v>云南曲靖</v>
      </c>
      <c r="F51" s="4" t="str">
        <f>"1992年08月"</f>
        <v>1992年08月</v>
      </c>
      <c r="G51" s="4" t="str">
        <f>"中共党员"</f>
        <v>中共党员</v>
      </c>
      <c r="H51" s="4" t="str">
        <f>"53032519920815071X"</f>
        <v>53032519920815071X</v>
      </c>
      <c r="I51" s="4" t="str">
        <f>"玉溪师范学院人文地理与城乡规划"</f>
        <v>玉溪师范学院人文地理与城乡规划</v>
      </c>
      <c r="J51" s="4" t="str">
        <f>"人文地理与城乡规划"</f>
        <v>人文地理与城乡规划</v>
      </c>
      <c r="K51" s="4" t="str">
        <f>"本科学士"</f>
        <v>本科学士</v>
      </c>
      <c r="L51" s="4" t="str">
        <f>"13887812134"</f>
        <v>13887812134</v>
      </c>
      <c r="M51" s="4" t="str">
        <f t="shared" si="1"/>
        <v>隆林县</v>
      </c>
      <c r="N51" s="4" t="str">
        <f>"云南省曲靖市富源县大河镇起铺村委会"</f>
        <v>云南省曲靖市富源县大河镇起铺村委会</v>
      </c>
      <c r="O51" s="4" t="str">
        <f>"409930782@qq.com"</f>
        <v>409930782@qq.com</v>
      </c>
      <c r="P51" s="4" t="str">
        <f>"2017.04.01"</f>
        <v>2017.04.01</v>
      </c>
      <c r="Q51" s="4" t="str">
        <f>"2017.07.01"</f>
        <v>2017.07.01</v>
      </c>
      <c r="R51" s="4" t="str">
        <f>"不是"</f>
        <v>不是</v>
      </c>
      <c r="S51" s="4" t="str">
        <f>"3:初级中学"</f>
        <v>3:初级中学</v>
      </c>
      <c r="T51" s="4" t="str">
        <f>"2017届毕业生填暂无"</f>
        <v>2017届毕业生填暂无</v>
      </c>
      <c r="U51" s="4" t="str">
        <f>"2017届毕业生填暂无"</f>
        <v>2017届毕业生填暂无</v>
      </c>
      <c r="V51" s="4" t="str">
        <f t="shared" si="2"/>
        <v>初中</v>
      </c>
      <c r="W51" s="4" t="str">
        <f t="shared" si="18"/>
        <v>207:地理</v>
      </c>
      <c r="X51" s="4" t="str">
        <f t="shared" si="4"/>
        <v>通过</v>
      </c>
    </row>
    <row r="52" spans="1:24" s="1" customFormat="1" ht="85.5">
      <c r="A52" s="4" t="str">
        <f>"20"</f>
        <v>20</v>
      </c>
      <c r="B52" s="4" t="str">
        <f>"王应华"</f>
        <v>王应华</v>
      </c>
      <c r="C52" s="4" t="str">
        <f>"男        "</f>
        <v>男        </v>
      </c>
      <c r="D52" s="4" t="str">
        <f>"汉族"</f>
        <v>汉族</v>
      </c>
      <c r="E52" s="4" t="str">
        <f>"云南昭阳区"</f>
        <v>云南昭阳区</v>
      </c>
      <c r="F52" s="4" t="str">
        <f>"1992年09月"</f>
        <v>1992年09月</v>
      </c>
      <c r="G52" s="4" t="str">
        <f>"共青团员"</f>
        <v>共青团员</v>
      </c>
      <c r="H52" s="4" t="str">
        <f>"532101199209071415"</f>
        <v>532101199209071415</v>
      </c>
      <c r="I52" s="4" t="str">
        <f>"玉溪师范学院人文地理与城乡规划"</f>
        <v>玉溪师范学院人文地理与城乡规划</v>
      </c>
      <c r="J52" s="4" t="str">
        <f>"人文地理与城乡规划"</f>
        <v>人文地理与城乡规划</v>
      </c>
      <c r="K52" s="4" t="str">
        <f>"本科学士"</f>
        <v>本科学士</v>
      </c>
      <c r="L52" s="4" t="str">
        <f>"15094261611"</f>
        <v>15094261611</v>
      </c>
      <c r="M52" s="4" t="str">
        <f t="shared" si="1"/>
        <v>隆林县</v>
      </c>
      <c r="N52" s="4" t="str">
        <f>"云南省昭通市昭阳区旧圃镇红泥闸村民委员会中村91号"</f>
        <v>云南省昭通市昭阳区旧圃镇红泥闸村民委员会中村91号</v>
      </c>
      <c r="O52" s="4" t="str">
        <f>"1540463155@qq.com"</f>
        <v>1540463155@qq.com</v>
      </c>
      <c r="P52" s="4">
        <f>""</f>
      </c>
      <c r="Q52" s="4" t="str">
        <f>"2017.07.01"</f>
        <v>2017.07.01</v>
      </c>
      <c r="R52" s="4" t="str">
        <f>"不是"</f>
        <v>不是</v>
      </c>
      <c r="S52" s="4" t="str">
        <f>"3:初级中学"</f>
        <v>3:初级中学</v>
      </c>
      <c r="T52" s="4" t="str">
        <f>"20155301731001007"</f>
        <v>20155301731001007</v>
      </c>
      <c r="U52" s="4" t="str">
        <f>"2017届毕业生填暂无"</f>
        <v>2017届毕业生填暂无</v>
      </c>
      <c r="V52" s="4" t="str">
        <f t="shared" si="2"/>
        <v>初中</v>
      </c>
      <c r="W52" s="4" t="str">
        <f t="shared" si="18"/>
        <v>207:地理</v>
      </c>
      <c r="X52" s="4" t="str">
        <f t="shared" si="4"/>
        <v>通过</v>
      </c>
    </row>
    <row r="53" spans="1:24" s="1" customFormat="1" ht="71.25">
      <c r="A53" s="4" t="str">
        <f>"21"</f>
        <v>21</v>
      </c>
      <c r="B53" s="4" t="str">
        <f>"黄仕秋"</f>
        <v>黄仕秋</v>
      </c>
      <c r="C53" s="4" t="str">
        <f>"女        "</f>
        <v>女        </v>
      </c>
      <c r="D53" s="4" t="str">
        <f>"壮族"</f>
        <v>壮族</v>
      </c>
      <c r="E53" s="4" t="str">
        <f>"广西隆林"</f>
        <v>广西隆林</v>
      </c>
      <c r="F53" s="4" t="str">
        <f>"1994年09月"</f>
        <v>1994年09月</v>
      </c>
      <c r="G53" s="4" t="str">
        <f>"共青团员"</f>
        <v>共青团员</v>
      </c>
      <c r="H53" s="4" t="str">
        <f>"452631199409182668"</f>
        <v>452631199409182668</v>
      </c>
      <c r="I53" s="4" t="str">
        <f>"广西教育学院地理教育"</f>
        <v>广西教育学院地理教育</v>
      </c>
      <c r="J53" s="4" t="str">
        <f>"地理教育"</f>
        <v>地理教育</v>
      </c>
      <c r="K53" s="4" t="str">
        <f>"专科无学位"</f>
        <v>专科无学位</v>
      </c>
      <c r="L53" s="4" t="str">
        <f>"13263716562"</f>
        <v>13263716562</v>
      </c>
      <c r="M53" s="4" t="str">
        <f t="shared" si="1"/>
        <v>隆林县</v>
      </c>
      <c r="N53" s="4" t="str">
        <f>"广西省百色市隆林县革步乡领好村那芝屯05号"</f>
        <v>广西省百色市隆林县革步乡领好村那芝屯05号</v>
      </c>
      <c r="O53" s="4" t="str">
        <f>"2247831086@qq.con"</f>
        <v>2247831086@qq.con</v>
      </c>
      <c r="P53" s="4">
        <f>""</f>
      </c>
      <c r="Q53" s="4" t="str">
        <f>"2017.06.01"</f>
        <v>2017.06.01</v>
      </c>
      <c r="R53" s="4" t="str">
        <f aca="true" t="shared" si="20" ref="R53:R58">"是"</f>
        <v>是</v>
      </c>
      <c r="S53" s="4" t="str">
        <f>"3:初级中学"</f>
        <v>3:初级中学</v>
      </c>
      <c r="T53" s="4" t="str">
        <f>"暂无"</f>
        <v>暂无</v>
      </c>
      <c r="U53" s="4" t="str">
        <f>"暂无"</f>
        <v>暂无</v>
      </c>
      <c r="V53" s="4" t="str">
        <f t="shared" si="2"/>
        <v>初中</v>
      </c>
      <c r="W53" s="4" t="str">
        <f t="shared" si="18"/>
        <v>207:地理</v>
      </c>
      <c r="X53" s="4" t="str">
        <f t="shared" si="4"/>
        <v>通过</v>
      </c>
    </row>
    <row r="54" spans="1:24" s="1" customFormat="1" ht="57">
      <c r="A54" s="4" t="str">
        <f>"22"</f>
        <v>22</v>
      </c>
      <c r="B54" s="4" t="str">
        <f>"王洪"</f>
        <v>王洪</v>
      </c>
      <c r="C54" s="4" t="str">
        <f>"男        "</f>
        <v>男        </v>
      </c>
      <c r="D54" s="4" t="str">
        <f>"汉族"</f>
        <v>汉族</v>
      </c>
      <c r="E54" s="4" t="str">
        <f>"贵州省兴仁县"</f>
        <v>贵州省兴仁县</v>
      </c>
      <c r="F54" s="4" t="str">
        <f>"1991年05月"</f>
        <v>1991年05月</v>
      </c>
      <c r="G54" s="4" t="str">
        <f>"共青团员"</f>
        <v>共青团员</v>
      </c>
      <c r="H54" s="4" t="str">
        <f>"522322199105142312"</f>
        <v>522322199105142312</v>
      </c>
      <c r="I54" s="4" t="str">
        <f>"贵州师范学院地理科学"</f>
        <v>贵州师范学院地理科学</v>
      </c>
      <c r="J54" s="4" t="str">
        <f>"地理科学"</f>
        <v>地理科学</v>
      </c>
      <c r="K54" s="4" t="str">
        <f>"本科学士"</f>
        <v>本科学士</v>
      </c>
      <c r="L54" s="4" t="str">
        <f>"13885938861"</f>
        <v>13885938861</v>
      </c>
      <c r="M54" s="4" t="str">
        <f t="shared" si="1"/>
        <v>隆林县</v>
      </c>
      <c r="N54" s="4" t="str">
        <f>"贵州省兴仁县下山镇榨冲村"</f>
        <v>贵州省兴仁县下山镇榨冲村</v>
      </c>
      <c r="O54" s="4" t="str">
        <f>"1589211670@qq.com"</f>
        <v>1589211670@qq.com</v>
      </c>
      <c r="P54" s="4">
        <f>""</f>
      </c>
      <c r="Q54" s="4" t="str">
        <f>"2016.07.01"</f>
        <v>2016.07.01</v>
      </c>
      <c r="R54" s="4" t="str">
        <f t="shared" si="20"/>
        <v>是</v>
      </c>
      <c r="S54" s="4" t="str">
        <f>"4:高级中学"</f>
        <v>4:高级中学</v>
      </c>
      <c r="T54" s="4" t="str">
        <f>"20165210041004527"</f>
        <v>20165210041004527</v>
      </c>
      <c r="U54" s="4" t="str">
        <f>"142231201605000108"</f>
        <v>142231201605000108</v>
      </c>
      <c r="V54" s="4" t="str">
        <f t="shared" si="2"/>
        <v>初中</v>
      </c>
      <c r="W54" s="4" t="str">
        <f t="shared" si="18"/>
        <v>207:地理</v>
      </c>
      <c r="X54" s="4" t="str">
        <f t="shared" si="4"/>
        <v>通过</v>
      </c>
    </row>
    <row r="55" spans="1:24" s="1" customFormat="1" ht="71.25">
      <c r="A55" s="4" t="str">
        <f>"23"</f>
        <v>23</v>
      </c>
      <c r="B55" s="4" t="str">
        <f>"李遥"</f>
        <v>李遥</v>
      </c>
      <c r="C55" s="4" t="str">
        <f>"女        "</f>
        <v>女        </v>
      </c>
      <c r="D55" s="4" t="str">
        <f>"回族"</f>
        <v>回族</v>
      </c>
      <c r="E55" s="4" t="str">
        <f>"云南省鲁甸县"</f>
        <v>云南省鲁甸县</v>
      </c>
      <c r="F55" s="4" t="str">
        <f>"1995年05月"</f>
        <v>1995年05月</v>
      </c>
      <c r="G55" s="4" t="str">
        <f>"中共预备党员"</f>
        <v>中共预备党员</v>
      </c>
      <c r="H55" s="4" t="str">
        <f>"532122199505020323"</f>
        <v>532122199505020323</v>
      </c>
      <c r="I55" s="4" t="str">
        <f>"文山学院地理教育"</f>
        <v>文山学院地理教育</v>
      </c>
      <c r="J55" s="4" t="str">
        <f>"地理教育"</f>
        <v>地理教育</v>
      </c>
      <c r="K55" s="4" t="str">
        <f>"专科无学位"</f>
        <v>专科无学位</v>
      </c>
      <c r="L55" s="4" t="str">
        <f>"15758792229"</f>
        <v>15758792229</v>
      </c>
      <c r="M55" s="4" t="str">
        <f t="shared" si="1"/>
        <v>隆林县</v>
      </c>
      <c r="N55" s="4" t="str">
        <f>"云南省昭通市鲁甸县桃源乡箐门村六社31号"</f>
        <v>云南省昭通市鲁甸县桃源乡箐门村六社31号</v>
      </c>
      <c r="O55" s="4" t="str">
        <f>"1527465380@qq.com"</f>
        <v>1527465380@qq.com</v>
      </c>
      <c r="P55" s="4" t="str">
        <f>"2017.05.01"</f>
        <v>2017.05.01</v>
      </c>
      <c r="Q55" s="4" t="str">
        <f>"2017.07.01"</f>
        <v>2017.07.01</v>
      </c>
      <c r="R55" s="4" t="str">
        <f t="shared" si="20"/>
        <v>是</v>
      </c>
      <c r="S55" s="4" t="str">
        <f>"3:初级中学"</f>
        <v>3:初级中学</v>
      </c>
      <c r="T55" s="4" t="str">
        <f>"无"</f>
        <v>无</v>
      </c>
      <c r="U55" s="4" t="str">
        <f>"115561201706000581"</f>
        <v>115561201706000581</v>
      </c>
      <c r="V55" s="4" t="str">
        <f t="shared" si="2"/>
        <v>初中</v>
      </c>
      <c r="W55" s="4" t="str">
        <f t="shared" si="18"/>
        <v>207:地理</v>
      </c>
      <c r="X55" s="4" t="str">
        <f t="shared" si="4"/>
        <v>通过</v>
      </c>
    </row>
    <row r="56" spans="1:24" s="1" customFormat="1" ht="85.5">
      <c r="A56" s="4" t="str">
        <f>"24"</f>
        <v>24</v>
      </c>
      <c r="B56" s="4" t="str">
        <f>"张海艳"</f>
        <v>张海艳</v>
      </c>
      <c r="C56" s="4" t="str">
        <f>"女        "</f>
        <v>女        </v>
      </c>
      <c r="D56" s="4" t="str">
        <f>"彝族"</f>
        <v>彝族</v>
      </c>
      <c r="E56" s="4" t="str">
        <f>"云南弥勒"</f>
        <v>云南弥勒</v>
      </c>
      <c r="F56" s="4" t="str">
        <f>"1994年12月"</f>
        <v>1994年12月</v>
      </c>
      <c r="G56" s="4" t="str">
        <f>"中共党员"</f>
        <v>中共党员</v>
      </c>
      <c r="H56" s="4" t="str">
        <f>"532526199412013527"</f>
        <v>532526199412013527</v>
      </c>
      <c r="I56" s="4" t="str">
        <f>"文山学院地理教育"</f>
        <v>文山学院地理教育</v>
      </c>
      <c r="J56" s="4" t="str">
        <f>"地理教育"</f>
        <v>地理教育</v>
      </c>
      <c r="K56" s="4" t="str">
        <f>"专科无学位"</f>
        <v>专科无学位</v>
      </c>
      <c r="L56" s="4" t="str">
        <f>"18287657993"</f>
        <v>18287657993</v>
      </c>
      <c r="M56" s="4" t="str">
        <f t="shared" si="1"/>
        <v>隆林县</v>
      </c>
      <c r="N56" s="4" t="str">
        <f>"云南省红河州弥勒市江边乡平地村委会大倮份村46号"</f>
        <v>云南省红河州弥勒市江边乡平地村委会大倮份村46号</v>
      </c>
      <c r="O56" s="4" t="str">
        <f>"934403916@qq.com"</f>
        <v>934403916@qq.com</v>
      </c>
      <c r="P56" s="4">
        <f>""</f>
      </c>
      <c r="Q56" s="4" t="str">
        <f>"2017.07.01"</f>
        <v>2017.07.01</v>
      </c>
      <c r="R56" s="4" t="str">
        <f t="shared" si="20"/>
        <v>是</v>
      </c>
      <c r="S56" s="4" t="str">
        <f>"3:初级中学"</f>
        <v>3:初级中学</v>
      </c>
      <c r="T56" s="4" t="str">
        <f>"2017届毕业生填暂无"</f>
        <v>2017届毕业生填暂无</v>
      </c>
      <c r="U56" s="4" t="str">
        <f>"2017届毕业生填暂无"</f>
        <v>2017届毕业生填暂无</v>
      </c>
      <c r="V56" s="4" t="str">
        <f t="shared" si="2"/>
        <v>初中</v>
      </c>
      <c r="W56" s="4" t="str">
        <f t="shared" si="18"/>
        <v>207:地理</v>
      </c>
      <c r="X56" s="4" t="str">
        <f t="shared" si="4"/>
        <v>通过</v>
      </c>
    </row>
    <row r="57" spans="1:24" s="1" customFormat="1" ht="71.25">
      <c r="A57" s="4" t="str">
        <f>"25"</f>
        <v>25</v>
      </c>
      <c r="B57" s="4" t="str">
        <f>"张希平"</f>
        <v>张希平</v>
      </c>
      <c r="C57" s="4" t="str">
        <f>"男        "</f>
        <v>男        </v>
      </c>
      <c r="D57" s="4" t="str">
        <f>"汉族"</f>
        <v>汉族</v>
      </c>
      <c r="E57" s="4" t="str">
        <f>"云南会泽"</f>
        <v>云南会泽</v>
      </c>
      <c r="F57" s="4" t="str">
        <f>"1992年05月"</f>
        <v>1992年05月</v>
      </c>
      <c r="G57" s="4" t="str">
        <f>"共青团员"</f>
        <v>共青团员</v>
      </c>
      <c r="H57" s="4" t="str">
        <f>"530326199205265112"</f>
        <v>530326199205265112</v>
      </c>
      <c r="I57" s="4" t="str">
        <f>"曲靖师范学院地理科学"</f>
        <v>曲靖师范学院地理科学</v>
      </c>
      <c r="J57" s="4" t="str">
        <f>"地理科学"</f>
        <v>地理科学</v>
      </c>
      <c r="K57" s="4" t="str">
        <f>"本科学士"</f>
        <v>本科学士</v>
      </c>
      <c r="L57" s="4" t="str">
        <f>"15187808660"</f>
        <v>15187808660</v>
      </c>
      <c r="M57" s="4" t="str">
        <f t="shared" si="1"/>
        <v>隆林县</v>
      </c>
      <c r="N57" s="4" t="str">
        <f>"云南省曲靖市会泽县田坝乡海山村小村子小组"</f>
        <v>云南省曲靖市会泽县田坝乡海山村小村子小组</v>
      </c>
      <c r="O57" s="4" t="str">
        <f>"320949964@qq.com"</f>
        <v>320949964@qq.com</v>
      </c>
      <c r="P57" s="4">
        <f>""</f>
      </c>
      <c r="Q57" s="4" t="str">
        <f>"2017.06.01"</f>
        <v>2017.06.01</v>
      </c>
      <c r="R57" s="4" t="str">
        <f t="shared" si="20"/>
        <v>是</v>
      </c>
      <c r="S57" s="4" t="str">
        <f>"4:高级中学"</f>
        <v>4:高级中学</v>
      </c>
      <c r="T57" s="4" t="str">
        <f>"2017届毕业生填暂无"</f>
        <v>2017届毕业生填暂无</v>
      </c>
      <c r="U57" s="4" t="str">
        <f>"2017届毕业生填暂无"</f>
        <v>2017届毕业生填暂无</v>
      </c>
      <c r="V57" s="4" t="str">
        <f t="shared" si="2"/>
        <v>初中</v>
      </c>
      <c r="W57" s="4" t="str">
        <f t="shared" si="18"/>
        <v>207:地理</v>
      </c>
      <c r="X57" s="4" t="str">
        <f t="shared" si="4"/>
        <v>通过</v>
      </c>
    </row>
    <row r="58" spans="1:24" s="1" customFormat="1" ht="85.5">
      <c r="A58" s="4" t="str">
        <f>"26"</f>
        <v>26</v>
      </c>
      <c r="B58" s="4" t="str">
        <f>"杨在英"</f>
        <v>杨在英</v>
      </c>
      <c r="C58" s="4" t="str">
        <f>"女        "</f>
        <v>女        </v>
      </c>
      <c r="D58" s="4" t="str">
        <f>"汉族"</f>
        <v>汉族</v>
      </c>
      <c r="E58" s="4" t="str">
        <f>"云南省昭通市永善县"</f>
        <v>云南省昭通市永善县</v>
      </c>
      <c r="F58" s="4" t="str">
        <f>"1991年02月"</f>
        <v>1991年02月</v>
      </c>
      <c r="G58" s="4" t="str">
        <f>"共青团员"</f>
        <v>共青团员</v>
      </c>
      <c r="H58" s="4" t="str">
        <f>"532126199102181160"</f>
        <v>532126199102181160</v>
      </c>
      <c r="I58" s="4" t="str">
        <f>"昭通学院地理教育"</f>
        <v>昭通学院地理教育</v>
      </c>
      <c r="J58" s="4" t="str">
        <f>"地理教育"</f>
        <v>地理教育</v>
      </c>
      <c r="K58" s="4" t="str">
        <f>"本科学士"</f>
        <v>本科学士</v>
      </c>
      <c r="L58" s="4" t="str">
        <f>"17708705090"</f>
        <v>17708705090</v>
      </c>
      <c r="M58" s="4" t="str">
        <f t="shared" si="1"/>
        <v>隆林县</v>
      </c>
      <c r="N58" s="4" t="str">
        <f>"云南省昭通市永善县黄华镇凤凰村半边月社26号"</f>
        <v>云南省昭通市永善县黄华镇凤凰村半边月社26号</v>
      </c>
      <c r="O58" s="4" t="str">
        <f>"745261609@qq.com"</f>
        <v>745261609@qq.com</v>
      </c>
      <c r="P58" s="4">
        <f>""</f>
      </c>
      <c r="Q58" s="4" t="str">
        <f>"2015.07.01"</f>
        <v>2015.07.01</v>
      </c>
      <c r="R58" s="4" t="str">
        <f t="shared" si="20"/>
        <v>是</v>
      </c>
      <c r="S58" s="4" t="str">
        <f>"3:初级中学"</f>
        <v>3:初级中学</v>
      </c>
      <c r="T58" s="4" t="str">
        <f>"20165302232000072"</f>
        <v>20165302232000072</v>
      </c>
      <c r="U58" s="4" t="str">
        <f>"106831201506000802"</f>
        <v>106831201506000802</v>
      </c>
      <c r="V58" s="4" t="str">
        <f t="shared" si="2"/>
        <v>初中</v>
      </c>
      <c r="W58" s="4" t="str">
        <f t="shared" si="18"/>
        <v>207:地理</v>
      </c>
      <c r="X58" s="4" t="str">
        <f t="shared" si="4"/>
        <v>通过</v>
      </c>
    </row>
    <row r="59" spans="1:24" s="1" customFormat="1" ht="71.25">
      <c r="A59" s="4" t="str">
        <f>"1"</f>
        <v>1</v>
      </c>
      <c r="B59" s="4" t="str">
        <f>"王小云"</f>
        <v>王小云</v>
      </c>
      <c r="C59" s="4" t="str">
        <f>"女        "</f>
        <v>女        </v>
      </c>
      <c r="D59" s="4" t="str">
        <f>"壮族"</f>
        <v>壮族</v>
      </c>
      <c r="E59" s="4" t="str">
        <f>"广西隆林县"</f>
        <v>广西隆林县</v>
      </c>
      <c r="F59" s="4" t="str">
        <f>"1995年01月"</f>
        <v>1995年01月</v>
      </c>
      <c r="G59" s="4" t="str">
        <f>"中共预备党员"</f>
        <v>中共预备党员</v>
      </c>
      <c r="H59" s="4" t="str">
        <f>"452631199501040347"</f>
        <v>452631199501040347</v>
      </c>
      <c r="I59" s="4" t="str">
        <f>"玉林师范学院生物技术"</f>
        <v>玉林师范学院生物技术</v>
      </c>
      <c r="J59" s="4" t="str">
        <f>"生物技术"</f>
        <v>生物技术</v>
      </c>
      <c r="K59" s="4" t="str">
        <f aca="true" t="shared" si="21" ref="K59:K93">"本科学士"</f>
        <v>本科学士</v>
      </c>
      <c r="L59" s="4" t="str">
        <f>"18878552251"</f>
        <v>18878552251</v>
      </c>
      <c r="M59" s="4" t="str">
        <f t="shared" si="1"/>
        <v>隆林县</v>
      </c>
      <c r="N59" s="4" t="str">
        <f>"广西百色市隆林县平班镇扁牙村岩来斯屯"</f>
        <v>广西百色市隆林县平班镇扁牙村岩来斯屯</v>
      </c>
      <c r="O59" s="4" t="str">
        <f>"2756226280@qq.com"</f>
        <v>2756226280@qq.com</v>
      </c>
      <c r="P59" s="4">
        <f>""</f>
      </c>
      <c r="Q59" s="4" t="str">
        <f>"2017.06.01"</f>
        <v>2017.06.01</v>
      </c>
      <c r="R59" s="4" t="str">
        <f>"不是"</f>
        <v>不是</v>
      </c>
      <c r="S59" s="4" t="str">
        <f>"4:高级中学"</f>
        <v>4:高级中学</v>
      </c>
      <c r="T59" s="4" t="str">
        <f>"无"</f>
        <v>无</v>
      </c>
      <c r="U59" s="4" t="str">
        <f>"无"</f>
        <v>无</v>
      </c>
      <c r="V59" s="4" t="str">
        <f t="shared" si="2"/>
        <v>初中</v>
      </c>
      <c r="W59" s="4" t="str">
        <f aca="true" t="shared" si="22" ref="W59:W70">"209:生物"</f>
        <v>209:生物</v>
      </c>
      <c r="X59" s="4" t="str">
        <f t="shared" si="4"/>
        <v>通过</v>
      </c>
    </row>
    <row r="60" spans="1:24" s="1" customFormat="1" ht="85.5">
      <c r="A60" s="4" t="str">
        <f>"2"</f>
        <v>2</v>
      </c>
      <c r="B60" s="4" t="str">
        <f>"罗小燕"</f>
        <v>罗小燕</v>
      </c>
      <c r="C60" s="4" t="str">
        <f>"女        "</f>
        <v>女        </v>
      </c>
      <c r="D60" s="4" t="str">
        <f>"布依族"</f>
        <v>布依族</v>
      </c>
      <c r="E60" s="4" t="str">
        <f>"贵州省册亨县"</f>
        <v>贵州省册亨县</v>
      </c>
      <c r="F60" s="4" t="str">
        <f>"1995年05月"</f>
        <v>1995年05月</v>
      </c>
      <c r="G60" s="4" t="str">
        <f>"共青团员"</f>
        <v>共青团员</v>
      </c>
      <c r="H60" s="4" t="str">
        <f>"522327199505151447"</f>
        <v>522327199505151447</v>
      </c>
      <c r="I60" s="4" t="str">
        <f>"遵义师范学院生物科学"</f>
        <v>遵义师范学院生物科学</v>
      </c>
      <c r="J60" s="4" t="str">
        <f>"生物科学"</f>
        <v>生物科学</v>
      </c>
      <c r="K60" s="4" t="str">
        <f t="shared" si="21"/>
        <v>本科学士</v>
      </c>
      <c r="L60" s="4" t="str">
        <f>"18385170538"</f>
        <v>18385170538</v>
      </c>
      <c r="M60" s="4" t="str">
        <f t="shared" si="1"/>
        <v>隆林县</v>
      </c>
      <c r="N60" s="4" t="str">
        <f>"贵州省册亨县巧马镇板坝村（平安村）者布组"</f>
        <v>贵州省册亨县巧马镇板坝村（平安村）者布组</v>
      </c>
      <c r="O60" s="4" t="str">
        <f>"1362289842@qq.com"</f>
        <v>1362289842@qq.com</v>
      </c>
      <c r="P60" s="4" t="str">
        <f>"2016.09.01"</f>
        <v>2016.09.01</v>
      </c>
      <c r="Q60" s="4" t="str">
        <f>"2017.07.01"</f>
        <v>2017.07.01</v>
      </c>
      <c r="R60" s="4" t="str">
        <f>"是"</f>
        <v>是</v>
      </c>
      <c r="S60" s="4" t="str">
        <f>"4:高级中学"</f>
        <v>4:高级中学</v>
      </c>
      <c r="T60" s="4" t="str">
        <f>"暂无"</f>
        <v>暂无</v>
      </c>
      <c r="U60" s="4" t="str">
        <f>"暂无"</f>
        <v>暂无</v>
      </c>
      <c r="V60" s="4" t="str">
        <f t="shared" si="2"/>
        <v>初中</v>
      </c>
      <c r="W60" s="4" t="str">
        <f t="shared" si="22"/>
        <v>209:生物</v>
      </c>
      <c r="X60" s="4" t="str">
        <f t="shared" si="4"/>
        <v>通过</v>
      </c>
    </row>
    <row r="61" spans="1:24" s="1" customFormat="1" ht="71.25">
      <c r="A61" s="4" t="str">
        <f>"3"</f>
        <v>3</v>
      </c>
      <c r="B61" s="4" t="str">
        <f>"朱德生"</f>
        <v>朱德生</v>
      </c>
      <c r="C61" s="4" t="str">
        <f>"男        "</f>
        <v>男        </v>
      </c>
      <c r="D61" s="4" t="str">
        <f>"苗族"</f>
        <v>苗族</v>
      </c>
      <c r="E61" s="4" t="str">
        <f>"广西隆林县"</f>
        <v>广西隆林县</v>
      </c>
      <c r="F61" s="4" t="str">
        <f>"1992年07月"</f>
        <v>1992年07月</v>
      </c>
      <c r="G61" s="4" t="str">
        <f>"共青团员"</f>
        <v>共青团员</v>
      </c>
      <c r="H61" s="4" t="str">
        <f>"452631199207163936"</f>
        <v>452631199207163936</v>
      </c>
      <c r="I61" s="4" t="str">
        <f>"百色学院生物技术"</f>
        <v>百色学院生物技术</v>
      </c>
      <c r="J61" s="4" t="str">
        <f>"生物技术"</f>
        <v>生物技术</v>
      </c>
      <c r="K61" s="4" t="str">
        <f t="shared" si="21"/>
        <v>本科学士</v>
      </c>
      <c r="L61" s="4" t="str">
        <f>"18778684308"</f>
        <v>18778684308</v>
      </c>
      <c r="M61" s="4" t="str">
        <f t="shared" si="1"/>
        <v>隆林县</v>
      </c>
      <c r="N61" s="4" t="str">
        <f>"广西省百色市隆林县蛇场乡同党村同联社12号"</f>
        <v>广西省百色市隆林县蛇场乡同党村同联社12号</v>
      </c>
      <c r="O61" s="4" t="str">
        <f>"2899530847@qq.com"</f>
        <v>2899530847@qq.com</v>
      </c>
      <c r="P61" s="4">
        <f>""</f>
      </c>
      <c r="Q61" s="4" t="str">
        <f>"2017.07.01"</f>
        <v>2017.07.01</v>
      </c>
      <c r="R61" s="4" t="str">
        <f>"不是"</f>
        <v>不是</v>
      </c>
      <c r="S61" s="4" t="str">
        <f>"0:暂未取得"</f>
        <v>0:暂未取得</v>
      </c>
      <c r="T61" s="4" t="str">
        <f>"暂无"</f>
        <v>暂无</v>
      </c>
      <c r="U61" s="4" t="str">
        <f>"暂无"</f>
        <v>暂无</v>
      </c>
      <c r="V61" s="4" t="str">
        <f t="shared" si="2"/>
        <v>初中</v>
      </c>
      <c r="W61" s="4" t="str">
        <f t="shared" si="22"/>
        <v>209:生物</v>
      </c>
      <c r="X61" s="4" t="str">
        <f t="shared" si="4"/>
        <v>通过</v>
      </c>
    </row>
    <row r="62" spans="1:24" s="1" customFormat="1" ht="71.25">
      <c r="A62" s="4" t="str">
        <f>"4"</f>
        <v>4</v>
      </c>
      <c r="B62" s="4" t="str">
        <f>"张雪莉"</f>
        <v>张雪莉</v>
      </c>
      <c r="C62" s="4" t="str">
        <f aca="true" t="shared" si="23" ref="C62:C70">"女        "</f>
        <v>女        </v>
      </c>
      <c r="D62" s="4" t="str">
        <f>"汉族"</f>
        <v>汉族</v>
      </c>
      <c r="E62" s="4" t="str">
        <f>"广西百色市隆林县"</f>
        <v>广西百色市隆林县</v>
      </c>
      <c r="F62" s="4" t="str">
        <f>"1992年01月"</f>
        <v>1992年01月</v>
      </c>
      <c r="G62" s="4" t="str">
        <f>"共青团员"</f>
        <v>共青团员</v>
      </c>
      <c r="H62" s="4" t="str">
        <f>"452631199201135029"</f>
        <v>452631199201135029</v>
      </c>
      <c r="I62" s="4" t="str">
        <f>"广西民族大学生物技术"</f>
        <v>广西民族大学生物技术</v>
      </c>
      <c r="J62" s="4" t="str">
        <f>"生物技术"</f>
        <v>生物技术</v>
      </c>
      <c r="K62" s="4" t="str">
        <f t="shared" si="21"/>
        <v>本科学士</v>
      </c>
      <c r="L62" s="4" t="str">
        <f>"18376711964"</f>
        <v>18376711964</v>
      </c>
      <c r="M62" s="4" t="str">
        <f t="shared" si="1"/>
        <v>隆林县</v>
      </c>
      <c r="N62" s="4" t="str">
        <f>"隆林县岩茶乡弄甫村卡甫屯"</f>
        <v>隆林县岩茶乡弄甫村卡甫屯</v>
      </c>
      <c r="O62" s="4" t="str">
        <f>"5238554925@qq.com"</f>
        <v>5238554925@qq.com</v>
      </c>
      <c r="P62" s="4" t="str">
        <f>"2016.12.01"</f>
        <v>2016.12.01</v>
      </c>
      <c r="Q62" s="4" t="str">
        <f>"2017.07.01"</f>
        <v>2017.07.01</v>
      </c>
      <c r="R62" s="4" t="str">
        <f>"是"</f>
        <v>是</v>
      </c>
      <c r="S62" s="4" t="str">
        <f aca="true" t="shared" si="24" ref="S62:S68">"4:高级中学"</f>
        <v>4:高级中学</v>
      </c>
      <c r="T62" s="4" t="str">
        <f>"2017届毕业生填暂无"</f>
        <v>2017届毕业生填暂无</v>
      </c>
      <c r="U62" s="4" t="str">
        <f>"2017届毕业生填暂无"</f>
        <v>2017届毕业生填暂无</v>
      </c>
      <c r="V62" s="4" t="str">
        <f t="shared" si="2"/>
        <v>初中</v>
      </c>
      <c r="W62" s="4" t="str">
        <f t="shared" si="22"/>
        <v>209:生物</v>
      </c>
      <c r="X62" s="4" t="str">
        <f t="shared" si="4"/>
        <v>通过</v>
      </c>
    </row>
    <row r="63" spans="1:24" s="1" customFormat="1" ht="99.75">
      <c r="A63" s="4" t="str">
        <f>"5"</f>
        <v>5</v>
      </c>
      <c r="B63" s="4" t="str">
        <f>"古秀"</f>
        <v>古秀</v>
      </c>
      <c r="C63" s="4" t="str">
        <f t="shared" si="23"/>
        <v>女        </v>
      </c>
      <c r="D63" s="4" t="str">
        <f>"汉族"</f>
        <v>汉族</v>
      </c>
      <c r="E63" s="4" t="str">
        <f>"云南富源"</f>
        <v>云南富源</v>
      </c>
      <c r="F63" s="4" t="str">
        <f>"1994年08月"</f>
        <v>1994年08月</v>
      </c>
      <c r="G63" s="4" t="str">
        <f>"中共党员"</f>
        <v>中共党员</v>
      </c>
      <c r="H63" s="4" t="str">
        <f>"530325199408241747"</f>
        <v>530325199408241747</v>
      </c>
      <c r="I63" s="4" t="str">
        <f>"文山学院生物科学"</f>
        <v>文山学院生物科学</v>
      </c>
      <c r="J63" s="4" t="str">
        <f>"生物科学"</f>
        <v>生物科学</v>
      </c>
      <c r="K63" s="4" t="str">
        <f t="shared" si="21"/>
        <v>本科学士</v>
      </c>
      <c r="L63" s="4" t="str">
        <f>"18848709987"</f>
        <v>18848709987</v>
      </c>
      <c r="M63" s="4" t="str">
        <f t="shared" si="1"/>
        <v>隆林县</v>
      </c>
      <c r="N63" s="4" t="str">
        <f>"云南省曲靖市富源县十八连山镇雨汪村委会上马戛村281号"</f>
        <v>云南省曲靖市富源县十八连山镇雨汪村委会上马戛村281号</v>
      </c>
      <c r="O63" s="4" t="str">
        <f>"1667458859@qq.com"</f>
        <v>1667458859@qq.com</v>
      </c>
      <c r="P63" s="4">
        <f>""</f>
      </c>
      <c r="Q63" s="4" t="str">
        <f>"2017.07.01"</f>
        <v>2017.07.01</v>
      </c>
      <c r="R63" s="4" t="str">
        <f>"是"</f>
        <v>是</v>
      </c>
      <c r="S63" s="4" t="str">
        <f t="shared" si="24"/>
        <v>4:高级中学</v>
      </c>
      <c r="T63" s="4" t="str">
        <f aca="true" t="shared" si="25" ref="T63:U66">"暂无"</f>
        <v>暂无</v>
      </c>
      <c r="U63" s="4" t="str">
        <f t="shared" si="25"/>
        <v>暂无</v>
      </c>
      <c r="V63" s="4" t="str">
        <f t="shared" si="2"/>
        <v>初中</v>
      </c>
      <c r="W63" s="4" t="str">
        <f t="shared" si="22"/>
        <v>209:生物</v>
      </c>
      <c r="X63" s="4" t="str">
        <f t="shared" si="4"/>
        <v>通过</v>
      </c>
    </row>
    <row r="64" spans="1:24" s="1" customFormat="1" ht="71.25">
      <c r="A64" s="4" t="str">
        <f>"6"</f>
        <v>6</v>
      </c>
      <c r="B64" s="4" t="str">
        <f>"龙文英"</f>
        <v>龙文英</v>
      </c>
      <c r="C64" s="4" t="str">
        <f t="shared" si="23"/>
        <v>女        </v>
      </c>
      <c r="D64" s="4" t="str">
        <f>"汉族"</f>
        <v>汉族</v>
      </c>
      <c r="E64" s="4" t="str">
        <f>"广西隆林"</f>
        <v>广西隆林</v>
      </c>
      <c r="F64" s="4" t="str">
        <f>"1994年11月"</f>
        <v>1994年11月</v>
      </c>
      <c r="G64" s="4" t="str">
        <f>"共青团员"</f>
        <v>共青团员</v>
      </c>
      <c r="H64" s="4" t="str">
        <f>"452631199411101003"</f>
        <v>452631199411101003</v>
      </c>
      <c r="I64" s="4" t="str">
        <f>"玉林师范学院生物技术"</f>
        <v>玉林师范学院生物技术</v>
      </c>
      <c r="J64" s="4" t="str">
        <f>"生物技术"</f>
        <v>生物技术</v>
      </c>
      <c r="K64" s="4" t="str">
        <f t="shared" si="21"/>
        <v>本科学士</v>
      </c>
      <c r="L64" s="4" t="str">
        <f>"18878552254"</f>
        <v>18878552254</v>
      </c>
      <c r="M64" s="4" t="str">
        <f t="shared" si="1"/>
        <v>隆林县</v>
      </c>
      <c r="N64" s="4" t="str">
        <f>"广西隆林各族自治县隆或乡双多村长湾屯"</f>
        <v>广西隆林各族自治县隆或乡双多村长湾屯</v>
      </c>
      <c r="O64" s="4" t="str">
        <f>"1440565233@qq.com"</f>
        <v>1440565233@qq.com</v>
      </c>
      <c r="P64" s="4">
        <f>""</f>
      </c>
      <c r="Q64" s="4" t="str">
        <f>"2017.06.01"</f>
        <v>2017.06.01</v>
      </c>
      <c r="R64" s="4" t="str">
        <f>"不是"</f>
        <v>不是</v>
      </c>
      <c r="S64" s="4" t="str">
        <f t="shared" si="24"/>
        <v>4:高级中学</v>
      </c>
      <c r="T64" s="4" t="str">
        <f t="shared" si="25"/>
        <v>暂无</v>
      </c>
      <c r="U64" s="4" t="str">
        <f t="shared" si="25"/>
        <v>暂无</v>
      </c>
      <c r="V64" s="4" t="str">
        <f t="shared" si="2"/>
        <v>初中</v>
      </c>
      <c r="W64" s="4" t="str">
        <f t="shared" si="22"/>
        <v>209:生物</v>
      </c>
      <c r="X64" s="4" t="str">
        <f t="shared" si="4"/>
        <v>通过</v>
      </c>
    </row>
    <row r="65" spans="1:24" s="1" customFormat="1" ht="99.75">
      <c r="A65" s="4" t="str">
        <f>"7"</f>
        <v>7</v>
      </c>
      <c r="B65" s="4" t="str">
        <f>"韦彩云"</f>
        <v>韦彩云</v>
      </c>
      <c r="C65" s="4" t="str">
        <f t="shared" si="23"/>
        <v>女        </v>
      </c>
      <c r="D65" s="4" t="str">
        <f>"壮族"</f>
        <v>壮族</v>
      </c>
      <c r="E65" s="4" t="str">
        <f>"云南富宁"</f>
        <v>云南富宁</v>
      </c>
      <c r="F65" s="4" t="str">
        <f>"1993年03月"</f>
        <v>1993年03月</v>
      </c>
      <c r="G65" s="4" t="str">
        <f>"共青团员"</f>
        <v>共青团员</v>
      </c>
      <c r="H65" s="4" t="str">
        <f>"532628199303041762"</f>
        <v>532628199303041762</v>
      </c>
      <c r="I65" s="4" t="str">
        <f>"文山学院生物科学"</f>
        <v>文山学院生物科学</v>
      </c>
      <c r="J65" s="4" t="str">
        <f>"生物科学"</f>
        <v>生物科学</v>
      </c>
      <c r="K65" s="4" t="str">
        <f t="shared" si="21"/>
        <v>本科学士</v>
      </c>
      <c r="L65" s="4" t="str">
        <f>"14787605896"</f>
        <v>14787605896</v>
      </c>
      <c r="M65" s="4" t="str">
        <f t="shared" si="1"/>
        <v>隆林县</v>
      </c>
      <c r="N65" s="4" t="str">
        <f>"云南省文山壮族苗族自治州富宁县洞波乡坡令村委会弄落"</f>
        <v>云南省文山壮族苗族自治州富宁县洞波乡坡令村委会弄落</v>
      </c>
      <c r="O65" s="4" t="str">
        <f>"1587506392@qq.com"</f>
        <v>1587506392@qq.com</v>
      </c>
      <c r="P65" s="4">
        <f>""</f>
      </c>
      <c r="Q65" s="4" t="str">
        <f>"2017.07.01"</f>
        <v>2017.07.01</v>
      </c>
      <c r="R65" s="4" t="str">
        <f>"是"</f>
        <v>是</v>
      </c>
      <c r="S65" s="4" t="str">
        <f t="shared" si="24"/>
        <v>4:高级中学</v>
      </c>
      <c r="T65" s="4" t="str">
        <f t="shared" si="25"/>
        <v>暂无</v>
      </c>
      <c r="U65" s="4" t="str">
        <f t="shared" si="25"/>
        <v>暂无</v>
      </c>
      <c r="V65" s="4" t="str">
        <f t="shared" si="2"/>
        <v>初中</v>
      </c>
      <c r="W65" s="4" t="str">
        <f t="shared" si="22"/>
        <v>209:生物</v>
      </c>
      <c r="X65" s="4" t="str">
        <f t="shared" si="4"/>
        <v>通过</v>
      </c>
    </row>
    <row r="66" spans="1:24" s="1" customFormat="1" ht="71.25">
      <c r="A66" s="4" t="str">
        <f>"8"</f>
        <v>8</v>
      </c>
      <c r="B66" s="4" t="str">
        <f>"班筱凤"</f>
        <v>班筱凤</v>
      </c>
      <c r="C66" s="4" t="str">
        <f t="shared" si="23"/>
        <v>女        </v>
      </c>
      <c r="D66" s="4" t="str">
        <f>"壮族"</f>
        <v>壮族</v>
      </c>
      <c r="E66" s="4" t="str">
        <f>"广西"</f>
        <v>广西</v>
      </c>
      <c r="F66" s="4" t="str">
        <f>"1994年05月"</f>
        <v>1994年05月</v>
      </c>
      <c r="G66" s="4" t="str">
        <f>"共青团员"</f>
        <v>共青团员</v>
      </c>
      <c r="H66" s="4" t="str">
        <f>"452631199405020522"</f>
        <v>452631199405020522</v>
      </c>
      <c r="I66" s="4" t="str">
        <f>"玉林师范学院生物科学"</f>
        <v>玉林师范学院生物科学</v>
      </c>
      <c r="J66" s="4" t="str">
        <f>"生物科学"</f>
        <v>生物科学</v>
      </c>
      <c r="K66" s="4" t="str">
        <f t="shared" si="21"/>
        <v>本科学士</v>
      </c>
      <c r="L66" s="4" t="str">
        <f>"18878552367"</f>
        <v>18878552367</v>
      </c>
      <c r="M66" s="4" t="str">
        <f t="shared" si="1"/>
        <v>隆林县</v>
      </c>
      <c r="N66" s="4" t="str">
        <f>"广西隆林自治县沙梨乡岩偿村委保中社28号"</f>
        <v>广西隆林自治县沙梨乡岩偿村委保中社28号</v>
      </c>
      <c r="O66" s="4" t="str">
        <f>"1394516942@qq.com"</f>
        <v>1394516942@qq.com</v>
      </c>
      <c r="P66" s="4" t="str">
        <f>"2016.09.01"</f>
        <v>2016.09.01</v>
      </c>
      <c r="Q66" s="4" t="str">
        <f>"2017.06.01"</f>
        <v>2017.06.01</v>
      </c>
      <c r="R66" s="4" t="str">
        <f>"是"</f>
        <v>是</v>
      </c>
      <c r="S66" s="4" t="str">
        <f t="shared" si="24"/>
        <v>4:高级中学</v>
      </c>
      <c r="T66" s="4" t="str">
        <f t="shared" si="25"/>
        <v>暂无</v>
      </c>
      <c r="U66" s="4" t="str">
        <f t="shared" si="25"/>
        <v>暂无</v>
      </c>
      <c r="V66" s="4" t="str">
        <f t="shared" si="2"/>
        <v>初中</v>
      </c>
      <c r="W66" s="4" t="str">
        <f t="shared" si="22"/>
        <v>209:生物</v>
      </c>
      <c r="X66" s="4" t="str">
        <f t="shared" si="4"/>
        <v>通过</v>
      </c>
    </row>
    <row r="67" spans="1:24" s="1" customFormat="1" ht="85.5">
      <c r="A67" s="4" t="str">
        <f>"9"</f>
        <v>9</v>
      </c>
      <c r="B67" s="4" t="str">
        <f>"周武琴"</f>
        <v>周武琴</v>
      </c>
      <c r="C67" s="4" t="str">
        <f t="shared" si="23"/>
        <v>女        </v>
      </c>
      <c r="D67" s="4" t="str">
        <f>"彝族"</f>
        <v>彝族</v>
      </c>
      <c r="E67" s="4" t="str">
        <f>"云南富源"</f>
        <v>云南富源</v>
      </c>
      <c r="F67" s="4" t="str">
        <f>"1992年08月"</f>
        <v>1992年08月</v>
      </c>
      <c r="G67" s="4" t="str">
        <f>"中共党员"</f>
        <v>中共党员</v>
      </c>
      <c r="H67" s="4" t="str">
        <f>"53032519920813156X"</f>
        <v>53032519920813156X</v>
      </c>
      <c r="I67" s="4" t="str">
        <f>"文山学院生物科学"</f>
        <v>文山学院生物科学</v>
      </c>
      <c r="J67" s="4" t="str">
        <f>"生物科学"</f>
        <v>生物科学</v>
      </c>
      <c r="K67" s="4" t="str">
        <f t="shared" si="21"/>
        <v>本科学士</v>
      </c>
      <c r="L67" s="4" t="str">
        <f>"18388605639"</f>
        <v>18388605639</v>
      </c>
      <c r="M67" s="4" t="str">
        <f aca="true" t="shared" si="26" ref="M67:M130">"隆林县"</f>
        <v>隆林县</v>
      </c>
      <c r="N67" s="4" t="str">
        <f>"云南省曲靖市富源县黄泥河镇五乐村委会黄扎村"</f>
        <v>云南省曲靖市富源县黄泥河镇五乐村委会黄扎村</v>
      </c>
      <c r="O67" s="4" t="str">
        <f>"1330070694@qq.com"</f>
        <v>1330070694@qq.com</v>
      </c>
      <c r="P67" s="4">
        <f>""</f>
      </c>
      <c r="Q67" s="4" t="str">
        <f>"2017.07.01"</f>
        <v>2017.07.01</v>
      </c>
      <c r="R67" s="4" t="str">
        <f>"是"</f>
        <v>是</v>
      </c>
      <c r="S67" s="4" t="str">
        <f t="shared" si="24"/>
        <v>4:高级中学</v>
      </c>
      <c r="T67" s="4" t="str">
        <f>"无"</f>
        <v>无</v>
      </c>
      <c r="U67" s="4" t="str">
        <f>"115561201705001534"</f>
        <v>115561201705001534</v>
      </c>
      <c r="V67" s="4" t="str">
        <f aca="true" t="shared" si="27" ref="V67:V130">"初中"</f>
        <v>初中</v>
      </c>
      <c r="W67" s="4" t="str">
        <f t="shared" si="22"/>
        <v>209:生物</v>
      </c>
      <c r="X67" s="4" t="str">
        <f aca="true" t="shared" si="28" ref="X67:X130">"通过"</f>
        <v>通过</v>
      </c>
    </row>
    <row r="68" spans="1:24" s="1" customFormat="1" ht="71.25">
      <c r="A68" s="4" t="str">
        <f>"10"</f>
        <v>10</v>
      </c>
      <c r="B68" s="4" t="str">
        <f>"黄娩芬"</f>
        <v>黄娩芬</v>
      </c>
      <c r="C68" s="4" t="str">
        <f t="shared" si="23"/>
        <v>女        </v>
      </c>
      <c r="D68" s="4" t="str">
        <f>"汉族"</f>
        <v>汉族</v>
      </c>
      <c r="E68" s="4" t="str">
        <f>"云南省师宗县"</f>
        <v>云南省师宗县</v>
      </c>
      <c r="F68" s="4" t="str">
        <f>"1993年08月"</f>
        <v>1993年08月</v>
      </c>
      <c r="G68" s="4" t="str">
        <f>"共青团员"</f>
        <v>共青团员</v>
      </c>
      <c r="H68" s="4" t="str">
        <f>"532227199308210029"</f>
        <v>532227199308210029</v>
      </c>
      <c r="I68" s="4" t="str">
        <f>"文山学院生物科学"</f>
        <v>文山学院生物科学</v>
      </c>
      <c r="J68" s="4" t="str">
        <f>"生物科学"</f>
        <v>生物科学</v>
      </c>
      <c r="K68" s="4" t="str">
        <f t="shared" si="21"/>
        <v>本科学士</v>
      </c>
      <c r="L68" s="4" t="str">
        <f>"13732792432"</f>
        <v>13732792432</v>
      </c>
      <c r="M68" s="4" t="str">
        <f t="shared" si="26"/>
        <v>隆林县</v>
      </c>
      <c r="N68" s="4" t="str">
        <f>"云南省曲靖市师宗县丹凤镇拱辰街17号附87号"</f>
        <v>云南省曲靖市师宗县丹凤镇拱辰街17号附87号</v>
      </c>
      <c r="O68" s="4" t="str">
        <f>"657421372@qq.com"</f>
        <v>657421372@qq.com</v>
      </c>
      <c r="P68" s="4">
        <f>""</f>
      </c>
      <c r="Q68" s="4" t="str">
        <f>"2017.07.01"</f>
        <v>2017.07.01</v>
      </c>
      <c r="R68" s="4" t="str">
        <f>"是"</f>
        <v>是</v>
      </c>
      <c r="S68" s="4" t="str">
        <f t="shared" si="24"/>
        <v>4:高级中学</v>
      </c>
      <c r="T68" s="4" t="str">
        <f>"2017届毕业生填暂无"</f>
        <v>2017届毕业生填暂无</v>
      </c>
      <c r="U68" s="4" t="str">
        <f>"115561201705000333"</f>
        <v>115561201705000333</v>
      </c>
      <c r="V68" s="4" t="str">
        <f t="shared" si="27"/>
        <v>初中</v>
      </c>
      <c r="W68" s="4" t="str">
        <f t="shared" si="22"/>
        <v>209:生物</v>
      </c>
      <c r="X68" s="4" t="str">
        <f t="shared" si="28"/>
        <v>通过</v>
      </c>
    </row>
    <row r="69" spans="1:24" s="1" customFormat="1" ht="85.5">
      <c r="A69" s="4" t="str">
        <f>"11"</f>
        <v>11</v>
      </c>
      <c r="B69" s="4" t="str">
        <f>"卢朝秀"</f>
        <v>卢朝秀</v>
      </c>
      <c r="C69" s="4" t="str">
        <f t="shared" si="23"/>
        <v>女        </v>
      </c>
      <c r="D69" s="4" t="str">
        <f>"壮族"</f>
        <v>壮族</v>
      </c>
      <c r="E69" s="4" t="str">
        <f>"广西百色市"</f>
        <v>广西百色市</v>
      </c>
      <c r="F69" s="4" t="str">
        <f>"1991年03月"</f>
        <v>1991年03月</v>
      </c>
      <c r="G69" s="4" t="str">
        <f>"中共党员"</f>
        <v>中共党员</v>
      </c>
      <c r="H69" s="4" t="str">
        <f>"452631199103032923"</f>
        <v>452631199103032923</v>
      </c>
      <c r="I69" s="4" t="str">
        <f>"右江民族医学院医学检验技术"</f>
        <v>右江民族医学院医学检验技术</v>
      </c>
      <c r="J69" s="4" t="str">
        <f>"医学检验技术"</f>
        <v>医学检验技术</v>
      </c>
      <c r="K69" s="4" t="str">
        <f t="shared" si="21"/>
        <v>本科学士</v>
      </c>
      <c r="L69" s="4" t="str">
        <f>"18207763297"</f>
        <v>18207763297</v>
      </c>
      <c r="M69" s="4" t="str">
        <f t="shared" si="26"/>
        <v>隆林县</v>
      </c>
      <c r="N69" s="4" t="str">
        <f>"广西百色市隆林县金钟山乡平流村坡安屯043号"</f>
        <v>广西百色市隆林县金钟山乡平流村坡安屯043号</v>
      </c>
      <c r="O69" s="4" t="str">
        <f>"1849935057@qq.com"</f>
        <v>1849935057@qq.com</v>
      </c>
      <c r="P69" s="4" t="str">
        <f>"2017.02.01"</f>
        <v>2017.02.01</v>
      </c>
      <c r="Q69" s="4" t="str">
        <f>"2017.07.01"</f>
        <v>2017.07.01</v>
      </c>
      <c r="R69" s="4" t="str">
        <f>"不是"</f>
        <v>不是</v>
      </c>
      <c r="S69" s="4" t="str">
        <f>"0:暂未取得"</f>
        <v>0:暂未取得</v>
      </c>
      <c r="T69" s="4" t="str">
        <f>"暂无"</f>
        <v>暂无</v>
      </c>
      <c r="U69" s="4" t="str">
        <f>"暂无"</f>
        <v>暂无</v>
      </c>
      <c r="V69" s="4" t="str">
        <f t="shared" si="27"/>
        <v>初中</v>
      </c>
      <c r="W69" s="4" t="str">
        <f t="shared" si="22"/>
        <v>209:生物</v>
      </c>
      <c r="X69" s="4" t="str">
        <f t="shared" si="28"/>
        <v>通过</v>
      </c>
    </row>
    <row r="70" spans="1:24" s="1" customFormat="1" ht="71.25">
      <c r="A70" s="4" t="str">
        <f>"12"</f>
        <v>12</v>
      </c>
      <c r="B70" s="4" t="str">
        <f>"王帮丽"</f>
        <v>王帮丽</v>
      </c>
      <c r="C70" s="4" t="str">
        <f t="shared" si="23"/>
        <v>女        </v>
      </c>
      <c r="D70" s="4" t="str">
        <f>"汉族"</f>
        <v>汉族</v>
      </c>
      <c r="E70" s="4" t="str">
        <f>"贵州兴仁"</f>
        <v>贵州兴仁</v>
      </c>
      <c r="F70" s="4" t="str">
        <f>"1993年08月"</f>
        <v>1993年08月</v>
      </c>
      <c r="G70" s="4" t="str">
        <f>"共青团员"</f>
        <v>共青团员</v>
      </c>
      <c r="H70" s="4" t="str">
        <f>"522322199308181629"</f>
        <v>522322199308181629</v>
      </c>
      <c r="I70" s="4" t="str">
        <f>"兴义民族师范学院生物科学"</f>
        <v>兴义民族师范学院生物科学</v>
      </c>
      <c r="J70" s="4" t="str">
        <f>"生物科学"</f>
        <v>生物科学</v>
      </c>
      <c r="K70" s="4" t="str">
        <f t="shared" si="21"/>
        <v>本科学士</v>
      </c>
      <c r="L70" s="4" t="str">
        <f>"15121584652"</f>
        <v>15121584652</v>
      </c>
      <c r="M70" s="4" t="str">
        <f t="shared" si="26"/>
        <v>隆林县</v>
      </c>
      <c r="N70" s="4" t="str">
        <f>"贵州省兴仁县雨樟镇格沙屯村新寨组13号"</f>
        <v>贵州省兴仁县雨樟镇格沙屯村新寨组13号</v>
      </c>
      <c r="O70" s="4" t="str">
        <f>"1533979325@qq.com"</f>
        <v>1533979325@qq.com</v>
      </c>
      <c r="P70" s="4" t="str">
        <f>"2016.08.01"</f>
        <v>2016.08.01</v>
      </c>
      <c r="Q70" s="4" t="str">
        <f>"2016.07.01"</f>
        <v>2016.07.01</v>
      </c>
      <c r="R70" s="4" t="str">
        <f>"是"</f>
        <v>是</v>
      </c>
      <c r="S70" s="4" t="str">
        <f>"4:高级中学"</f>
        <v>4:高级中学</v>
      </c>
      <c r="T70" s="4" t="str">
        <f>"20165290042000809"</f>
        <v>20165290042000809</v>
      </c>
      <c r="U70" s="4" t="str">
        <f>"106661201605000323"</f>
        <v>106661201605000323</v>
      </c>
      <c r="V70" s="4" t="str">
        <f t="shared" si="27"/>
        <v>初中</v>
      </c>
      <c r="W70" s="4" t="str">
        <f t="shared" si="22"/>
        <v>209:生物</v>
      </c>
      <c r="X70" s="4" t="str">
        <f t="shared" si="28"/>
        <v>通过</v>
      </c>
    </row>
    <row r="71" spans="1:24" s="1" customFormat="1" ht="42.75">
      <c r="A71" s="4" t="str">
        <f>"1"</f>
        <v>1</v>
      </c>
      <c r="B71" s="4" t="str">
        <f>"何薇薇"</f>
        <v>何薇薇</v>
      </c>
      <c r="C71" s="4" t="str">
        <f>"女        "</f>
        <v>女        </v>
      </c>
      <c r="D71" s="4" t="str">
        <f>"汉族"</f>
        <v>汉族</v>
      </c>
      <c r="E71" s="4" t="str">
        <f>"广西百色市"</f>
        <v>广西百色市</v>
      </c>
      <c r="F71" s="4" t="str">
        <f>"1994年11月"</f>
        <v>1994年11月</v>
      </c>
      <c r="G71" s="4" t="str">
        <f>"共青团员"</f>
        <v>共青团员</v>
      </c>
      <c r="H71" s="4" t="str">
        <f>"452631199411080361"</f>
        <v>452631199411080361</v>
      </c>
      <c r="I71" s="4" t="str">
        <f>"梧州学院应用物理学"</f>
        <v>梧州学院应用物理学</v>
      </c>
      <c r="J71" s="4" t="str">
        <f>"应用物理学"</f>
        <v>应用物理学</v>
      </c>
      <c r="K71" s="4" t="str">
        <f t="shared" si="21"/>
        <v>本科学士</v>
      </c>
      <c r="L71" s="4" t="str">
        <f>"13877672978"</f>
        <v>13877672978</v>
      </c>
      <c r="M71" s="4" t="str">
        <f t="shared" si="26"/>
        <v>隆林县</v>
      </c>
      <c r="N71" s="4" t="str">
        <f>"广西百色市隆林县"</f>
        <v>广西百色市隆林县</v>
      </c>
      <c r="O71" s="4" t="str">
        <f>"2285964095@qq.com"</f>
        <v>2285964095@qq.com</v>
      </c>
      <c r="P71" s="4">
        <f>""</f>
      </c>
      <c r="Q71" s="4" t="str">
        <f>"2017.07.01"</f>
        <v>2017.07.01</v>
      </c>
      <c r="R71" s="4" t="str">
        <f>"不是"</f>
        <v>不是</v>
      </c>
      <c r="S71" s="4" t="str">
        <f>"0:暂未取得"</f>
        <v>0:暂未取得</v>
      </c>
      <c r="T71" s="4" t="str">
        <f>"暂无"</f>
        <v>暂无</v>
      </c>
      <c r="U71" s="4" t="str">
        <f>"暂无"</f>
        <v>暂无</v>
      </c>
      <c r="V71" s="4" t="str">
        <f t="shared" si="27"/>
        <v>初中</v>
      </c>
      <c r="W71" s="4" t="str">
        <f aca="true" t="shared" si="29" ref="W71:W85">"210:物理"</f>
        <v>210:物理</v>
      </c>
      <c r="X71" s="4" t="str">
        <f t="shared" si="28"/>
        <v>通过</v>
      </c>
    </row>
    <row r="72" spans="1:24" s="1" customFormat="1" ht="71.25">
      <c r="A72" s="4" t="str">
        <f>"2"</f>
        <v>2</v>
      </c>
      <c r="B72" s="4" t="str">
        <f>"曹荣芬"</f>
        <v>曹荣芬</v>
      </c>
      <c r="C72" s="4" t="str">
        <f>"女        "</f>
        <v>女        </v>
      </c>
      <c r="D72" s="4" t="str">
        <f>"汉族"</f>
        <v>汉族</v>
      </c>
      <c r="E72" s="4" t="str">
        <f>"贵州省兴仁县"</f>
        <v>贵州省兴仁县</v>
      </c>
      <c r="F72" s="4" t="str">
        <f>"1992年06月"</f>
        <v>1992年06月</v>
      </c>
      <c r="G72" s="4" t="str">
        <f>"中共党员"</f>
        <v>中共党员</v>
      </c>
      <c r="H72" s="4" t="str">
        <f>"52232219920620122X"</f>
        <v>52232219920620122X</v>
      </c>
      <c r="I72" s="4" t="str">
        <f>"贵州师范学院物理"</f>
        <v>贵州师范学院物理</v>
      </c>
      <c r="J72" s="4" t="str">
        <f>"物理"</f>
        <v>物理</v>
      </c>
      <c r="K72" s="4" t="str">
        <f t="shared" si="21"/>
        <v>本科学士</v>
      </c>
      <c r="L72" s="4" t="str">
        <f>"18786068262"</f>
        <v>18786068262</v>
      </c>
      <c r="M72" s="4" t="str">
        <f t="shared" si="26"/>
        <v>隆林县</v>
      </c>
      <c r="N72" s="4" t="str">
        <f>"贵州省兴仁县百德镇百德街上太阳雨太阳能"</f>
        <v>贵州省兴仁县百德镇百德街上太阳雨太阳能</v>
      </c>
      <c r="O72" s="4" t="str">
        <f>"1204455630@qq.com"</f>
        <v>1204455630@qq.com</v>
      </c>
      <c r="P72" s="4" t="str">
        <f>"2017.03.01"</f>
        <v>2017.03.01</v>
      </c>
      <c r="Q72" s="4" t="str">
        <f>"2016.06.01"</f>
        <v>2016.06.01</v>
      </c>
      <c r="R72" s="4" t="str">
        <f>"是"</f>
        <v>是</v>
      </c>
      <c r="S72" s="4" t="str">
        <f>"4:高级中学"</f>
        <v>4:高级中学</v>
      </c>
      <c r="T72" s="4" t="str">
        <f>"20165210042004883"</f>
        <v>20165210042004883</v>
      </c>
      <c r="U72" s="4" t="str">
        <f>"142231201605002409"</f>
        <v>142231201605002409</v>
      </c>
      <c r="V72" s="4" t="str">
        <f t="shared" si="27"/>
        <v>初中</v>
      </c>
      <c r="W72" s="4" t="str">
        <f t="shared" si="29"/>
        <v>210:物理</v>
      </c>
      <c r="X72" s="4" t="str">
        <f t="shared" si="28"/>
        <v>通过</v>
      </c>
    </row>
    <row r="73" spans="1:24" s="1" customFormat="1" ht="71.25">
      <c r="A73" s="4" t="str">
        <f>"3"</f>
        <v>3</v>
      </c>
      <c r="B73" s="4" t="str">
        <f>"杨绍诚"</f>
        <v>杨绍诚</v>
      </c>
      <c r="C73" s="4" t="str">
        <f>"男        "</f>
        <v>男        </v>
      </c>
      <c r="D73" s="4" t="str">
        <f>"苗族"</f>
        <v>苗族</v>
      </c>
      <c r="E73" s="4" t="str">
        <f>"广西隆林"</f>
        <v>广西隆林</v>
      </c>
      <c r="F73" s="4" t="str">
        <f>"1994年03月"</f>
        <v>1994年03月</v>
      </c>
      <c r="G73" s="4" t="str">
        <f aca="true" t="shared" si="30" ref="G73:G78">"共青团员"</f>
        <v>共青团员</v>
      </c>
      <c r="H73" s="4" t="str">
        <f>"452631199403043894"</f>
        <v>452631199403043894</v>
      </c>
      <c r="I73" s="4" t="str">
        <f>"广西民族大学物理学"</f>
        <v>广西民族大学物理学</v>
      </c>
      <c r="J73" s="4" t="str">
        <f>"物理学"</f>
        <v>物理学</v>
      </c>
      <c r="K73" s="4" t="str">
        <f t="shared" si="21"/>
        <v>本科学士</v>
      </c>
      <c r="L73" s="4" t="str">
        <f>"15578039739"</f>
        <v>15578039739</v>
      </c>
      <c r="M73" s="4" t="str">
        <f t="shared" si="26"/>
        <v>隆林县</v>
      </c>
      <c r="N73" s="4" t="str">
        <f>"广西百色市隆林县蛇场乡蛇场村弯竹林社6号"</f>
        <v>广西百色市隆林县蛇场乡蛇场村弯竹林社6号</v>
      </c>
      <c r="O73" s="4" t="str">
        <f>"1005385827@qq.com"</f>
        <v>1005385827@qq.com</v>
      </c>
      <c r="P73" s="4">
        <f>""</f>
      </c>
      <c r="Q73" s="4" t="str">
        <f>"2017.07.01"</f>
        <v>2017.07.01</v>
      </c>
      <c r="R73" s="4" t="str">
        <f>"是"</f>
        <v>是</v>
      </c>
      <c r="S73" s="4" t="str">
        <f>"0:暂未取得"</f>
        <v>0:暂未取得</v>
      </c>
      <c r="T73" s="4" t="str">
        <f>"2017届毕业生填暂无"</f>
        <v>2017届毕业生填暂无</v>
      </c>
      <c r="U73" s="4" t="str">
        <f>"2017届毕业生填暂无"</f>
        <v>2017届毕业生填暂无</v>
      </c>
      <c r="V73" s="4" t="str">
        <f t="shared" si="27"/>
        <v>初中</v>
      </c>
      <c r="W73" s="4" t="str">
        <f t="shared" si="29"/>
        <v>210:物理</v>
      </c>
      <c r="X73" s="4" t="str">
        <f t="shared" si="28"/>
        <v>通过</v>
      </c>
    </row>
    <row r="74" spans="1:24" s="1" customFormat="1" ht="85.5">
      <c r="A74" s="4" t="str">
        <f>"4"</f>
        <v>4</v>
      </c>
      <c r="B74" s="4" t="str">
        <f>"陶亚将"</f>
        <v>陶亚将</v>
      </c>
      <c r="C74" s="4" t="str">
        <f>"男        "</f>
        <v>男        </v>
      </c>
      <c r="D74" s="4" t="str">
        <f>"苗族"</f>
        <v>苗族</v>
      </c>
      <c r="E74" s="4" t="str">
        <f>"广西隆林县"</f>
        <v>广西隆林县</v>
      </c>
      <c r="F74" s="4" t="str">
        <f>"1993年09月"</f>
        <v>1993年09月</v>
      </c>
      <c r="G74" s="4" t="str">
        <f t="shared" si="30"/>
        <v>共青团员</v>
      </c>
      <c r="H74" s="4" t="str">
        <f>"452631199309103897"</f>
        <v>452631199309103897</v>
      </c>
      <c r="I74" s="4" t="str">
        <f>"广西师范大学机械设计制造及其自动化"</f>
        <v>广西师范大学机械设计制造及其自动化</v>
      </c>
      <c r="J74" s="4" t="str">
        <f>"机械设计制造及其自动化"</f>
        <v>机械设计制造及其自动化</v>
      </c>
      <c r="K74" s="4" t="str">
        <f t="shared" si="21"/>
        <v>本科学士</v>
      </c>
      <c r="L74" s="4" t="str">
        <f>"18378339562"</f>
        <v>18378339562</v>
      </c>
      <c r="M74" s="4" t="str">
        <f t="shared" si="26"/>
        <v>隆林县</v>
      </c>
      <c r="N74" s="4" t="str">
        <f>"广西省百色市隆林县蛇场乡蛇场村卫沙屯"</f>
        <v>广西省百色市隆林县蛇场乡蛇场村卫沙屯</v>
      </c>
      <c r="O74" s="4" t="str">
        <f>"1632331781@qq.com"</f>
        <v>1632331781@qq.com</v>
      </c>
      <c r="P74" s="4">
        <f>""</f>
      </c>
      <c r="Q74" s="4" t="str">
        <f>"2017.06.01"</f>
        <v>2017.06.01</v>
      </c>
      <c r="R74" s="4" t="str">
        <f>"不是"</f>
        <v>不是</v>
      </c>
      <c r="S74" s="4" t="str">
        <f>"0:暂未取得"</f>
        <v>0:暂未取得</v>
      </c>
      <c r="T74" s="4" t="str">
        <f>"2017届毕业生填暂无"</f>
        <v>2017届毕业生填暂无</v>
      </c>
      <c r="U74" s="4" t="str">
        <f>"2017届毕业生填暂无"</f>
        <v>2017届毕业生填暂无</v>
      </c>
      <c r="V74" s="4" t="str">
        <f t="shared" si="27"/>
        <v>初中</v>
      </c>
      <c r="W74" s="4" t="str">
        <f t="shared" si="29"/>
        <v>210:物理</v>
      </c>
      <c r="X74" s="4" t="str">
        <f t="shared" si="28"/>
        <v>通过</v>
      </c>
    </row>
    <row r="75" spans="1:24" s="1" customFormat="1" ht="85.5">
      <c r="A75" s="4" t="str">
        <f>"5"</f>
        <v>5</v>
      </c>
      <c r="B75" s="4" t="str">
        <f>"许梦迪"</f>
        <v>许梦迪</v>
      </c>
      <c r="C75" s="4" t="str">
        <f>"女        "</f>
        <v>女        </v>
      </c>
      <c r="D75" s="4" t="str">
        <f>"汉族"</f>
        <v>汉族</v>
      </c>
      <c r="E75" s="4" t="str">
        <f>"广西百色市"</f>
        <v>广西百色市</v>
      </c>
      <c r="F75" s="4" t="str">
        <f>"1990年03月"</f>
        <v>1990年03月</v>
      </c>
      <c r="G75" s="4" t="str">
        <f t="shared" si="30"/>
        <v>共青团员</v>
      </c>
      <c r="H75" s="4" t="str">
        <f>"450821199003033466"</f>
        <v>450821199003033466</v>
      </c>
      <c r="I75" s="4" t="str">
        <f>"广西师范学院应用电子技术教育"</f>
        <v>广西师范学院应用电子技术教育</v>
      </c>
      <c r="J75" s="4" t="str">
        <f>"应用电子技术教育"</f>
        <v>应用电子技术教育</v>
      </c>
      <c r="K75" s="4" t="str">
        <f t="shared" si="21"/>
        <v>本科学士</v>
      </c>
      <c r="L75" s="4" t="str">
        <f>"15577694858"</f>
        <v>15577694858</v>
      </c>
      <c r="M75" s="4" t="str">
        <f t="shared" si="26"/>
        <v>隆林县</v>
      </c>
      <c r="N75" s="4" t="str">
        <f>"广西省百色市隆林县桠杈镇享义村山林头屯059号"</f>
        <v>广西省百色市隆林县桠杈镇享义村山林头屯059号</v>
      </c>
      <c r="O75" s="4" t="str">
        <f>"857596893@qq.com"</f>
        <v>857596893@qq.com</v>
      </c>
      <c r="P75" s="4">
        <f>""</f>
      </c>
      <c r="Q75" s="4" t="str">
        <f>"2015.06.01"</f>
        <v>2015.06.01</v>
      </c>
      <c r="R75" s="4" t="str">
        <f>"是"</f>
        <v>是</v>
      </c>
      <c r="S75" s="4" t="str">
        <f>"0:暂未取得"</f>
        <v>0:暂未取得</v>
      </c>
      <c r="T75" s="4" t="str">
        <f>"2015届毕业生填暂无"</f>
        <v>2015届毕业生填暂无</v>
      </c>
      <c r="U75" s="4" t="str">
        <f>"106031201505001609"</f>
        <v>106031201505001609</v>
      </c>
      <c r="V75" s="4" t="str">
        <f t="shared" si="27"/>
        <v>初中</v>
      </c>
      <c r="W75" s="4" t="str">
        <f t="shared" si="29"/>
        <v>210:物理</v>
      </c>
      <c r="X75" s="4" t="str">
        <f t="shared" si="28"/>
        <v>通过</v>
      </c>
    </row>
    <row r="76" spans="1:24" s="1" customFormat="1" ht="71.25">
      <c r="A76" s="4" t="str">
        <f>"6"</f>
        <v>6</v>
      </c>
      <c r="B76" s="4" t="str">
        <f>"鲁贵鹏"</f>
        <v>鲁贵鹏</v>
      </c>
      <c r="C76" s="4" t="str">
        <f>"男        "</f>
        <v>男        </v>
      </c>
      <c r="D76" s="4" t="str">
        <f>"汉族"</f>
        <v>汉族</v>
      </c>
      <c r="E76" s="4" t="str">
        <f>"贵州"</f>
        <v>贵州</v>
      </c>
      <c r="F76" s="4" t="str">
        <f>"1994年09月"</f>
        <v>1994年09月</v>
      </c>
      <c r="G76" s="4" t="str">
        <f t="shared" si="30"/>
        <v>共青团员</v>
      </c>
      <c r="H76" s="4" t="str">
        <f>"522321199409114314"</f>
        <v>522321199409114314</v>
      </c>
      <c r="I76" s="4" t="str">
        <f>"兴义民族师范学院物理学"</f>
        <v>兴义民族师范学院物理学</v>
      </c>
      <c r="J76" s="4" t="str">
        <f>"物理学"</f>
        <v>物理学</v>
      </c>
      <c r="K76" s="4" t="str">
        <f t="shared" si="21"/>
        <v>本科学士</v>
      </c>
      <c r="L76" s="4" t="str">
        <f>"18785991627"</f>
        <v>18785991627</v>
      </c>
      <c r="M76" s="4" t="str">
        <f t="shared" si="26"/>
        <v>隆林县</v>
      </c>
      <c r="N76" s="4" t="str">
        <f>"贵州省黔西南州兴义市鲁屯镇"</f>
        <v>贵州省黔西南州兴义市鲁屯镇</v>
      </c>
      <c r="O76" s="4" t="str">
        <f>"1612076296@qq.com"</f>
        <v>1612076296@qq.com</v>
      </c>
      <c r="P76" s="4">
        <f>""</f>
      </c>
      <c r="Q76" s="4" t="str">
        <f>"2017.07.01"</f>
        <v>2017.07.01</v>
      </c>
      <c r="R76" s="4" t="str">
        <f>"是"</f>
        <v>是</v>
      </c>
      <c r="S76" s="4" t="str">
        <f>"4:高级中学"</f>
        <v>4:高级中学</v>
      </c>
      <c r="T76" s="4" t="str">
        <f>"2017届毕业生填暂无"</f>
        <v>2017届毕业生填暂无</v>
      </c>
      <c r="U76" s="4" t="str">
        <f>"2017届毕业生填暂无"</f>
        <v>2017届毕业生填暂无</v>
      </c>
      <c r="V76" s="4" t="str">
        <f t="shared" si="27"/>
        <v>初中</v>
      </c>
      <c r="W76" s="4" t="str">
        <f t="shared" si="29"/>
        <v>210:物理</v>
      </c>
      <c r="X76" s="4" t="str">
        <f t="shared" si="28"/>
        <v>通过</v>
      </c>
    </row>
    <row r="77" spans="1:25" s="1" customFormat="1" ht="71.25">
      <c r="A77" s="4" t="str">
        <f>"7"</f>
        <v>7</v>
      </c>
      <c r="B77" s="4" t="str">
        <f>"潘正志"</f>
        <v>潘正志</v>
      </c>
      <c r="C77" s="4" t="str">
        <f>"男        "</f>
        <v>男        </v>
      </c>
      <c r="D77" s="4" t="str">
        <f>"苗族"</f>
        <v>苗族</v>
      </c>
      <c r="E77" s="4" t="str">
        <f>"中国贵州"</f>
        <v>中国贵州</v>
      </c>
      <c r="F77" s="4" t="str">
        <f>"1993年06月"</f>
        <v>1993年06月</v>
      </c>
      <c r="G77" s="4" t="str">
        <f t="shared" si="30"/>
        <v>共青团员</v>
      </c>
      <c r="H77" s="4" t="str">
        <f>"522325199306110412"</f>
        <v>522325199306110412</v>
      </c>
      <c r="I77" s="4" t="str">
        <f>"贵州师范大学物理学"</f>
        <v>贵州师范大学物理学</v>
      </c>
      <c r="J77" s="4" t="str">
        <f>"物理学"</f>
        <v>物理学</v>
      </c>
      <c r="K77" s="4" t="str">
        <f t="shared" si="21"/>
        <v>本科学士</v>
      </c>
      <c r="L77" s="4" t="str">
        <f>"15761607581"</f>
        <v>15761607581</v>
      </c>
      <c r="M77" s="4" t="str">
        <f t="shared" si="26"/>
        <v>隆林县</v>
      </c>
      <c r="N77" s="4" t="str">
        <f>"贵州省贞丰县挽澜乡"</f>
        <v>贵州省贞丰县挽澜乡</v>
      </c>
      <c r="O77" s="4" t="str">
        <f>"pzzframbo@163.com"</f>
        <v>pzzframbo@163.com</v>
      </c>
      <c r="P77" s="4" t="str">
        <f>"2017.05.01"</f>
        <v>2017.05.01</v>
      </c>
      <c r="Q77" s="4" t="str">
        <f>"2017.07.01"</f>
        <v>2017.07.01</v>
      </c>
      <c r="R77" s="4" t="str">
        <f>"是"</f>
        <v>是</v>
      </c>
      <c r="S77" s="4" t="str">
        <f>"4:高级中学"</f>
        <v>4:高级中学</v>
      </c>
      <c r="T77" s="4" t="str">
        <f>"2017届毕业生填暂无"</f>
        <v>2017届毕业生填暂无</v>
      </c>
      <c r="U77" s="4" t="str">
        <f>"2017届毕业生填暂无"</f>
        <v>2017届毕业生填暂无</v>
      </c>
      <c r="V77" s="4" t="str">
        <f t="shared" si="27"/>
        <v>初中</v>
      </c>
      <c r="W77" s="4" t="str">
        <f t="shared" si="29"/>
        <v>210:物理</v>
      </c>
      <c r="X77" s="4" t="str">
        <f t="shared" si="28"/>
        <v>通过</v>
      </c>
      <c r="Y77" s="1" t="s">
        <v>25</v>
      </c>
    </row>
    <row r="78" spans="1:24" s="1" customFormat="1" ht="85.5">
      <c r="A78" s="4" t="str">
        <f>"8"</f>
        <v>8</v>
      </c>
      <c r="B78" s="4" t="str">
        <f>"李永健"</f>
        <v>李永健</v>
      </c>
      <c r="C78" s="4" t="str">
        <f>"男        "</f>
        <v>男        </v>
      </c>
      <c r="D78" s="4" t="str">
        <f>"汉族"</f>
        <v>汉族</v>
      </c>
      <c r="E78" s="4" t="str">
        <f>"广西隆林县"</f>
        <v>广西隆林县</v>
      </c>
      <c r="F78" s="4" t="str">
        <f>"1993年08月"</f>
        <v>1993年08月</v>
      </c>
      <c r="G78" s="4" t="str">
        <f t="shared" si="30"/>
        <v>共青团员</v>
      </c>
      <c r="H78" s="4" t="str">
        <f>"452631199308101013"</f>
        <v>452631199308101013</v>
      </c>
      <c r="I78" s="4" t="str">
        <f>"玉林师范学院测控技术与仪器"</f>
        <v>玉林师范学院测控技术与仪器</v>
      </c>
      <c r="J78" s="4" t="str">
        <f>"测控技术与仪器"</f>
        <v>测控技术与仪器</v>
      </c>
      <c r="K78" s="4" t="str">
        <f t="shared" si="21"/>
        <v>本科学士</v>
      </c>
      <c r="L78" s="4" t="str">
        <f>"18878551015"</f>
        <v>18878551015</v>
      </c>
      <c r="M78" s="4" t="str">
        <f t="shared" si="26"/>
        <v>隆林县</v>
      </c>
      <c r="N78" s="4" t="str">
        <f>"广西百色市隆林各族自治县隆或乡双多村下洞屯"</f>
        <v>广西百色市隆林各族自治县隆或乡双多村下洞屯</v>
      </c>
      <c r="O78" s="4" t="str">
        <f>"1686510474@qq.com"</f>
        <v>1686510474@qq.com</v>
      </c>
      <c r="P78" s="4" t="str">
        <f>"2017.03.01"</f>
        <v>2017.03.01</v>
      </c>
      <c r="Q78" s="4" t="str">
        <f>"2017.06.01"</f>
        <v>2017.06.01</v>
      </c>
      <c r="R78" s="4" t="str">
        <f>"不是"</f>
        <v>不是</v>
      </c>
      <c r="S78" s="4" t="str">
        <f>"0:暂未取得"</f>
        <v>0:暂未取得</v>
      </c>
      <c r="T78" s="4" t="str">
        <f>"暂无"</f>
        <v>暂无</v>
      </c>
      <c r="U78" s="4" t="str">
        <f>"暂无"</f>
        <v>暂无</v>
      </c>
      <c r="V78" s="4" t="str">
        <f t="shared" si="27"/>
        <v>初中</v>
      </c>
      <c r="W78" s="4" t="str">
        <f t="shared" si="29"/>
        <v>210:物理</v>
      </c>
      <c r="X78" s="4" t="str">
        <f t="shared" si="28"/>
        <v>通过</v>
      </c>
    </row>
    <row r="79" spans="1:24" s="1" customFormat="1" ht="85.5">
      <c r="A79" s="4" t="str">
        <f>"9"</f>
        <v>9</v>
      </c>
      <c r="B79" s="4" t="str">
        <f>"郝葛昭"</f>
        <v>郝葛昭</v>
      </c>
      <c r="C79" s="4" t="str">
        <f>"男        "</f>
        <v>男        </v>
      </c>
      <c r="D79" s="4" t="str">
        <f>"汉族"</f>
        <v>汉族</v>
      </c>
      <c r="E79" s="4" t="str">
        <f>"云南省昭通市永善县"</f>
        <v>云南省昭通市永善县</v>
      </c>
      <c r="F79" s="4" t="str">
        <f>"1991年02月"</f>
        <v>1991年02月</v>
      </c>
      <c r="G79" s="4" t="str">
        <f>"中共党员"</f>
        <v>中共党员</v>
      </c>
      <c r="H79" s="4" t="str">
        <f>"532126199102180512"</f>
        <v>532126199102180512</v>
      </c>
      <c r="I79" s="4" t="str">
        <f>"普洱学院物理学"</f>
        <v>普洱学院物理学</v>
      </c>
      <c r="J79" s="4" t="str">
        <f>"物理学"</f>
        <v>物理学</v>
      </c>
      <c r="K79" s="4" t="str">
        <f t="shared" si="21"/>
        <v>本科学士</v>
      </c>
      <c r="L79" s="4" t="str">
        <f>"14769036150"</f>
        <v>14769036150</v>
      </c>
      <c r="M79" s="4" t="str">
        <f t="shared" si="26"/>
        <v>隆林县</v>
      </c>
      <c r="N79" s="4" t="str">
        <f>"云南省昭通市永善县团结乡双河村大堡顶社14号"</f>
        <v>云南省昭通市永善县团结乡双河村大堡顶社14号</v>
      </c>
      <c r="O79" s="4" t="str">
        <f>"1370749180@qq.com"</f>
        <v>1370749180@qq.com</v>
      </c>
      <c r="P79" s="4">
        <f>""</f>
      </c>
      <c r="Q79" s="4" t="str">
        <f>"2017.07.01"</f>
        <v>2017.07.01</v>
      </c>
      <c r="R79" s="4" t="str">
        <f>"是"</f>
        <v>是</v>
      </c>
      <c r="S79" s="4" t="str">
        <f>"4:高级中学"</f>
        <v>4:高级中学</v>
      </c>
      <c r="T79" s="4" t="str">
        <f>"2017届毕业生填暂无"</f>
        <v>2017届毕业生填暂无</v>
      </c>
      <c r="U79" s="4" t="str">
        <f>"2017届毕业生填暂无"</f>
        <v>2017届毕业生填暂无</v>
      </c>
      <c r="V79" s="4" t="str">
        <f t="shared" si="27"/>
        <v>初中</v>
      </c>
      <c r="W79" s="4" t="str">
        <f t="shared" si="29"/>
        <v>210:物理</v>
      </c>
      <c r="X79" s="4" t="str">
        <f t="shared" si="28"/>
        <v>通过</v>
      </c>
    </row>
    <row r="80" spans="1:24" s="1" customFormat="1" ht="85.5">
      <c r="A80" s="4" t="str">
        <f>"10"</f>
        <v>10</v>
      </c>
      <c r="B80" s="4" t="str">
        <f>"王永凤"</f>
        <v>王永凤</v>
      </c>
      <c r="C80" s="4" t="str">
        <f>"女        "</f>
        <v>女        </v>
      </c>
      <c r="D80" s="4" t="str">
        <f>"壮族"</f>
        <v>壮族</v>
      </c>
      <c r="E80" s="4" t="str">
        <f>"广西百色市"</f>
        <v>广西百色市</v>
      </c>
      <c r="F80" s="4" t="str">
        <f>"1995年09月"</f>
        <v>1995年09月</v>
      </c>
      <c r="G80" s="4" t="str">
        <f>"中共党员"</f>
        <v>中共党员</v>
      </c>
      <c r="H80" s="4" t="str">
        <f>"452631199509170808"</f>
        <v>452631199509170808</v>
      </c>
      <c r="I80" s="4" t="str">
        <f>"广西民族大学物理学"</f>
        <v>广西民族大学物理学</v>
      </c>
      <c r="J80" s="4" t="str">
        <f>"物理学"</f>
        <v>物理学</v>
      </c>
      <c r="K80" s="4" t="str">
        <f t="shared" si="21"/>
        <v>本科学士</v>
      </c>
      <c r="L80" s="4" t="str">
        <f>"15878198197"</f>
        <v>15878198197</v>
      </c>
      <c r="M80" s="4" t="str">
        <f t="shared" si="26"/>
        <v>隆林县</v>
      </c>
      <c r="N80" s="4" t="str">
        <f>"广西百色市隆林各族自治县平班镇管肖村管肖屯3号"</f>
        <v>广西百色市隆林各族自治县平班镇管肖村管肖屯3号</v>
      </c>
      <c r="O80" s="4" t="str">
        <f>"1512610621@qq.com"</f>
        <v>1512610621@qq.com</v>
      </c>
      <c r="P80" s="4">
        <f>""</f>
      </c>
      <c r="Q80" s="4" t="str">
        <f>"2017.07.01"</f>
        <v>2017.07.01</v>
      </c>
      <c r="R80" s="4" t="str">
        <f>"是"</f>
        <v>是</v>
      </c>
      <c r="S80" s="4" t="str">
        <f>"4:高级中学"</f>
        <v>4:高级中学</v>
      </c>
      <c r="T80" s="4" t="str">
        <f>"无"</f>
        <v>无</v>
      </c>
      <c r="U80" s="4" t="str">
        <f>"无"</f>
        <v>无</v>
      </c>
      <c r="V80" s="4" t="str">
        <f t="shared" si="27"/>
        <v>初中</v>
      </c>
      <c r="W80" s="4" t="str">
        <f t="shared" si="29"/>
        <v>210:物理</v>
      </c>
      <c r="X80" s="4" t="str">
        <f t="shared" si="28"/>
        <v>通过</v>
      </c>
    </row>
    <row r="81" spans="1:24" s="1" customFormat="1" ht="57">
      <c r="A81" s="4" t="str">
        <f>"11"</f>
        <v>11</v>
      </c>
      <c r="B81" s="4" t="str">
        <f>"李磊"</f>
        <v>李磊</v>
      </c>
      <c r="C81" s="4" t="str">
        <f>"女        "</f>
        <v>女        </v>
      </c>
      <c r="D81" s="4" t="str">
        <f>"汉族"</f>
        <v>汉族</v>
      </c>
      <c r="E81" s="4" t="str">
        <f>"贵州"</f>
        <v>贵州</v>
      </c>
      <c r="F81" s="4" t="str">
        <f>"1987年10月"</f>
        <v>1987年10月</v>
      </c>
      <c r="G81" s="4" t="str">
        <f>"中共预备党员"</f>
        <v>中共预备党员</v>
      </c>
      <c r="H81" s="4" t="str">
        <f>"522401198710062969"</f>
        <v>522401198710062969</v>
      </c>
      <c r="I81" s="4" t="str">
        <f>"六盘水师范学院应用物理学"</f>
        <v>六盘水师范学院应用物理学</v>
      </c>
      <c r="J81" s="4" t="str">
        <f>"应用物理学"</f>
        <v>应用物理学</v>
      </c>
      <c r="K81" s="4" t="str">
        <f t="shared" si="21"/>
        <v>本科学士</v>
      </c>
      <c r="L81" s="4" t="str">
        <f>"18286837806"</f>
        <v>18286837806</v>
      </c>
      <c r="M81" s="4" t="str">
        <f t="shared" si="26"/>
        <v>隆林县</v>
      </c>
      <c r="N81" s="4" t="str">
        <f>"贵州省毕节市长春镇下伍村坝口组"</f>
        <v>贵州省毕节市长春镇下伍村坝口组</v>
      </c>
      <c r="O81" s="4" t="str">
        <f>"1443113819@qq.com"</f>
        <v>1443113819@qq.com</v>
      </c>
      <c r="P81" s="4">
        <f>""</f>
      </c>
      <c r="Q81" s="4" t="str">
        <f>"2016.06.01"</f>
        <v>2016.06.01</v>
      </c>
      <c r="R81" s="4" t="str">
        <f>"不是"</f>
        <v>不是</v>
      </c>
      <c r="S81" s="4" t="str">
        <f>"3:初级中学"</f>
        <v>3:初级中学</v>
      </c>
      <c r="T81" s="4" t="str">
        <f>"2017523005256"</f>
        <v>2017523005256</v>
      </c>
      <c r="U81" s="4" t="str">
        <f>"109771201605000837"</f>
        <v>109771201605000837</v>
      </c>
      <c r="V81" s="4" t="str">
        <f t="shared" si="27"/>
        <v>初中</v>
      </c>
      <c r="W81" s="4" t="str">
        <f t="shared" si="29"/>
        <v>210:物理</v>
      </c>
      <c r="X81" s="4" t="str">
        <f t="shared" si="28"/>
        <v>通过</v>
      </c>
    </row>
    <row r="82" spans="1:24" s="1" customFormat="1" ht="42.75">
      <c r="A82" s="4" t="str">
        <f>"12"</f>
        <v>12</v>
      </c>
      <c r="B82" s="4" t="str">
        <f>"黄有善"</f>
        <v>黄有善</v>
      </c>
      <c r="C82" s="4" t="str">
        <f>"男        "</f>
        <v>男        </v>
      </c>
      <c r="D82" s="4" t="str">
        <f>"壮族"</f>
        <v>壮族</v>
      </c>
      <c r="E82" s="4" t="str">
        <f>"广西百色市隆林县"</f>
        <v>广西百色市隆林县</v>
      </c>
      <c r="F82" s="4" t="str">
        <f>"1994年05月"</f>
        <v>1994年05月</v>
      </c>
      <c r="G82" s="4" t="str">
        <f>"共青团员"</f>
        <v>共青团员</v>
      </c>
      <c r="H82" s="4" t="str">
        <f>"452631199405040013"</f>
        <v>452631199405040013</v>
      </c>
      <c r="I82" s="4" t="str">
        <f>"玉林师范学院物理学"</f>
        <v>玉林师范学院物理学</v>
      </c>
      <c r="J82" s="4" t="str">
        <f>"物理学"</f>
        <v>物理学</v>
      </c>
      <c r="K82" s="4" t="str">
        <f t="shared" si="21"/>
        <v>本科学士</v>
      </c>
      <c r="L82" s="4" t="str">
        <f>"18878553740"</f>
        <v>18878553740</v>
      </c>
      <c r="M82" s="4" t="str">
        <f t="shared" si="26"/>
        <v>隆林县</v>
      </c>
      <c r="N82" s="4" t="str">
        <f>"广西百色市隆林县"</f>
        <v>广西百色市隆林县</v>
      </c>
      <c r="O82" s="4" t="str">
        <f>"554247355@qq.com"</f>
        <v>554247355@qq.com</v>
      </c>
      <c r="P82" s="4">
        <f>""</f>
      </c>
      <c r="Q82" s="4" t="str">
        <f>"2017.06.01"</f>
        <v>2017.06.01</v>
      </c>
      <c r="R82" s="4" t="str">
        <f>"是"</f>
        <v>是</v>
      </c>
      <c r="S82" s="4" t="str">
        <f>"3:初级中学"</f>
        <v>3:初级中学</v>
      </c>
      <c r="T82" s="4" t="str">
        <f>"暂无"</f>
        <v>暂无</v>
      </c>
      <c r="U82" s="4" t="str">
        <f>"暂无"</f>
        <v>暂无</v>
      </c>
      <c r="V82" s="4" t="str">
        <f t="shared" si="27"/>
        <v>初中</v>
      </c>
      <c r="W82" s="4" t="str">
        <f t="shared" si="29"/>
        <v>210:物理</v>
      </c>
      <c r="X82" s="4" t="str">
        <f t="shared" si="28"/>
        <v>通过</v>
      </c>
    </row>
    <row r="83" spans="1:24" s="1" customFormat="1" ht="71.25">
      <c r="A83" s="4" t="str">
        <f>"13"</f>
        <v>13</v>
      </c>
      <c r="B83" s="4" t="str">
        <f>"杨金成"</f>
        <v>杨金成</v>
      </c>
      <c r="C83" s="4" t="str">
        <f>"男        "</f>
        <v>男        </v>
      </c>
      <c r="D83" s="4" t="str">
        <f>"苗族"</f>
        <v>苗族</v>
      </c>
      <c r="E83" s="4" t="str">
        <f>"广西"</f>
        <v>广西</v>
      </c>
      <c r="F83" s="4" t="str">
        <f>"1991年09月"</f>
        <v>1991年09月</v>
      </c>
      <c r="G83" s="4" t="str">
        <f>"共青团员"</f>
        <v>共青团员</v>
      </c>
      <c r="H83" s="4" t="str">
        <f>"452631199109103892"</f>
        <v>452631199109103892</v>
      </c>
      <c r="I83" s="4" t="str">
        <f>"江西科技师范大学理工学院土木工程"</f>
        <v>江西科技师范大学理工学院土木工程</v>
      </c>
      <c r="J83" s="4" t="str">
        <f>"土木工程"</f>
        <v>土木工程</v>
      </c>
      <c r="K83" s="4" t="str">
        <f t="shared" si="21"/>
        <v>本科学士</v>
      </c>
      <c r="L83" s="4" t="str">
        <f>"13217761358"</f>
        <v>13217761358</v>
      </c>
      <c r="M83" s="4" t="str">
        <f t="shared" si="26"/>
        <v>隆林县</v>
      </c>
      <c r="N83" s="4" t="str">
        <f>"广西省百色市隆林县蛇场乡新民村同盆屯"</f>
        <v>广西省百色市隆林县蛇场乡新民村同盆屯</v>
      </c>
      <c r="O83" s="4" t="str">
        <f>"949329784@qq.com"</f>
        <v>949329784@qq.com</v>
      </c>
      <c r="P83" s="4" t="str">
        <f>"2016.07.01"</f>
        <v>2016.07.01</v>
      </c>
      <c r="Q83" s="4" t="str">
        <f>"2017.06.01"</f>
        <v>2017.06.01</v>
      </c>
      <c r="R83" s="4" t="str">
        <f>"不是"</f>
        <v>不是</v>
      </c>
      <c r="S83" s="4" t="str">
        <f>"0:暂未取得"</f>
        <v>0:暂未取得</v>
      </c>
      <c r="T83" s="4" t="str">
        <f>"2017届毕业生填暂无"</f>
        <v>2017届毕业生填暂无</v>
      </c>
      <c r="U83" s="4" t="str">
        <f>"2017届毕业生填暂无"</f>
        <v>2017届毕业生填暂无</v>
      </c>
      <c r="V83" s="4" t="str">
        <f t="shared" si="27"/>
        <v>初中</v>
      </c>
      <c r="W83" s="4" t="str">
        <f t="shared" si="29"/>
        <v>210:物理</v>
      </c>
      <c r="X83" s="4" t="str">
        <f t="shared" si="28"/>
        <v>通过</v>
      </c>
    </row>
    <row r="84" spans="1:24" s="1" customFormat="1" ht="57">
      <c r="A84" s="4" t="str">
        <f>"14"</f>
        <v>14</v>
      </c>
      <c r="B84" s="4" t="str">
        <f>"冯云"</f>
        <v>冯云</v>
      </c>
      <c r="C84" s="4" t="str">
        <f>"女        "</f>
        <v>女        </v>
      </c>
      <c r="D84" s="4" t="str">
        <f>"汉族"</f>
        <v>汉族</v>
      </c>
      <c r="E84" s="4" t="str">
        <f>"贵州省兴义市贞丰县"</f>
        <v>贵州省兴义市贞丰县</v>
      </c>
      <c r="F84" s="4" t="str">
        <f>"1993年02月"</f>
        <v>1993年02月</v>
      </c>
      <c r="G84" s="4" t="str">
        <f>"共青团员"</f>
        <v>共青团员</v>
      </c>
      <c r="H84" s="4" t="str">
        <f>"52232519930221162X"</f>
        <v>52232519930221162X</v>
      </c>
      <c r="I84" s="4" t="str">
        <f>"齐齐哈尔大学物理专业"</f>
        <v>齐齐哈尔大学物理专业</v>
      </c>
      <c r="J84" s="4" t="str">
        <f>"物理专业"</f>
        <v>物理专业</v>
      </c>
      <c r="K84" s="4" t="str">
        <f t="shared" si="21"/>
        <v>本科学士</v>
      </c>
      <c r="L84" s="4" t="str">
        <f>"18208694734"</f>
        <v>18208694734</v>
      </c>
      <c r="M84" s="4" t="str">
        <f t="shared" si="26"/>
        <v>隆林县</v>
      </c>
      <c r="N84" s="4" t="str">
        <f>"贵州省兴义市贞丰县"</f>
        <v>贵州省兴义市贞丰县</v>
      </c>
      <c r="O84" s="4" t="str">
        <f>"1092517025@qq.com"</f>
        <v>1092517025@qq.com</v>
      </c>
      <c r="P84" s="4">
        <f>""</f>
      </c>
      <c r="Q84" s="4" t="str">
        <f>"2015.06.01"</f>
        <v>2015.06.01</v>
      </c>
      <c r="R84" s="4" t="str">
        <f>"是"</f>
        <v>是</v>
      </c>
      <c r="S84" s="4" t="str">
        <f>"4:高级中学"</f>
        <v>4:高级中学</v>
      </c>
      <c r="T84" s="4" t="str">
        <f>"20152320142000107"</f>
        <v>20152320142000107</v>
      </c>
      <c r="U84" s="4" t="str">
        <f>"102321201505001021"</f>
        <v>102321201505001021</v>
      </c>
      <c r="V84" s="4" t="str">
        <f t="shared" si="27"/>
        <v>初中</v>
      </c>
      <c r="W84" s="4" t="str">
        <f t="shared" si="29"/>
        <v>210:物理</v>
      </c>
      <c r="X84" s="4" t="str">
        <f t="shared" si="28"/>
        <v>通过</v>
      </c>
    </row>
    <row r="85" spans="1:24" s="1" customFormat="1" ht="85.5">
      <c r="A85" s="4" t="str">
        <f>"15"</f>
        <v>15</v>
      </c>
      <c r="B85" s="4" t="str">
        <f>"陆宗奎"</f>
        <v>陆宗奎</v>
      </c>
      <c r="C85" s="4" t="str">
        <f>"男        "</f>
        <v>男        </v>
      </c>
      <c r="D85" s="4" t="str">
        <f>"壮族"</f>
        <v>壮族</v>
      </c>
      <c r="E85" s="4" t="str">
        <f>"广西隆林"</f>
        <v>广西隆林</v>
      </c>
      <c r="F85" s="4" t="str">
        <f>"1995年10月"</f>
        <v>1995年10月</v>
      </c>
      <c r="G85" s="4" t="str">
        <f>"共青团员"</f>
        <v>共青团员</v>
      </c>
      <c r="H85" s="4" t="str">
        <f>"452631199510140315"</f>
        <v>452631199510140315</v>
      </c>
      <c r="I85" s="4" t="str">
        <f>"广西民族大学物理学"</f>
        <v>广西民族大学物理学</v>
      </c>
      <c r="J85" s="4" t="str">
        <f>"物理学"</f>
        <v>物理学</v>
      </c>
      <c r="K85" s="4" t="str">
        <f t="shared" si="21"/>
        <v>本科学士</v>
      </c>
      <c r="L85" s="4" t="str">
        <f>"15977772504"</f>
        <v>15977772504</v>
      </c>
      <c r="M85" s="4" t="str">
        <f t="shared" si="26"/>
        <v>隆林县</v>
      </c>
      <c r="N85" s="4" t="str">
        <f>"广西隆林各族自治县桠杈镇弄徕村弄徕屯四社026号"</f>
        <v>广西隆林各族自治县桠杈镇弄徕村弄徕屯四社026号</v>
      </c>
      <c r="O85" s="4" t="str">
        <f>"1357746253@qq.com"</f>
        <v>1357746253@qq.com</v>
      </c>
      <c r="P85" s="4">
        <f>""</f>
      </c>
      <c r="Q85" s="4" t="str">
        <f>"2017.06.01"</f>
        <v>2017.06.01</v>
      </c>
      <c r="R85" s="4" t="str">
        <f>"是"</f>
        <v>是</v>
      </c>
      <c r="S85" s="4" t="str">
        <f>"4:高级中学"</f>
        <v>4:高级中学</v>
      </c>
      <c r="T85" s="4" t="str">
        <f>"无"</f>
        <v>无</v>
      </c>
      <c r="U85" s="4" t="str">
        <f>"无"</f>
        <v>无</v>
      </c>
      <c r="V85" s="4" t="str">
        <f t="shared" si="27"/>
        <v>初中</v>
      </c>
      <c r="W85" s="4" t="str">
        <f t="shared" si="29"/>
        <v>210:物理</v>
      </c>
      <c r="X85" s="4" t="str">
        <f t="shared" si="28"/>
        <v>通过</v>
      </c>
    </row>
    <row r="86" spans="1:24" s="1" customFormat="1" ht="57">
      <c r="A86" s="4" t="str">
        <f>"1"</f>
        <v>1</v>
      </c>
      <c r="B86" s="4" t="str">
        <f>"杨才梅"</f>
        <v>杨才梅</v>
      </c>
      <c r="C86" s="4" t="str">
        <f>"女        "</f>
        <v>女        </v>
      </c>
      <c r="D86" s="4" t="str">
        <f>"布依族"</f>
        <v>布依族</v>
      </c>
      <c r="E86" s="4" t="str">
        <f>"贵州省册亨县"</f>
        <v>贵州省册亨县</v>
      </c>
      <c r="F86" s="4" t="str">
        <f>"1994年02月"</f>
        <v>1994年02月</v>
      </c>
      <c r="G86" s="4" t="str">
        <f aca="true" t="shared" si="31" ref="G86:G93">"共青团员"</f>
        <v>共青团员</v>
      </c>
      <c r="H86" s="4" t="str">
        <f>"522327199402272828"</f>
        <v>522327199402272828</v>
      </c>
      <c r="I86" s="4" t="str">
        <f>"兴义民族师范学院化学"</f>
        <v>兴义民族师范学院化学</v>
      </c>
      <c r="J86" s="4" t="str">
        <f>"化学"</f>
        <v>化学</v>
      </c>
      <c r="K86" s="4" t="str">
        <f t="shared" si="21"/>
        <v>本科学士</v>
      </c>
      <c r="L86" s="4" t="str">
        <f>"15121599115"</f>
        <v>15121599115</v>
      </c>
      <c r="M86" s="4" t="str">
        <f t="shared" si="26"/>
        <v>隆林县</v>
      </c>
      <c r="N86" s="4" t="str">
        <f>"贵州省册亨县百口乡洞里村三组"</f>
        <v>贵州省册亨县百口乡洞里村三组</v>
      </c>
      <c r="O86" s="4" t="str">
        <f>"1437122614@qq.com"</f>
        <v>1437122614@qq.com</v>
      </c>
      <c r="P86" s="4" t="str">
        <f>"2017.03.01"</f>
        <v>2017.03.01</v>
      </c>
      <c r="Q86" s="4" t="str">
        <f>"2017.06.01"</f>
        <v>2017.06.01</v>
      </c>
      <c r="R86" s="4" t="str">
        <f>"是"</f>
        <v>是</v>
      </c>
      <c r="S86" s="4" t="str">
        <f>"4:高级中学"</f>
        <v>4:高级中学</v>
      </c>
      <c r="T86" s="4" t="str">
        <f>"暂无"</f>
        <v>暂无</v>
      </c>
      <c r="U86" s="4" t="str">
        <f>"暂无"</f>
        <v>暂无</v>
      </c>
      <c r="V86" s="4" t="str">
        <f t="shared" si="27"/>
        <v>初中</v>
      </c>
      <c r="W86" s="4" t="str">
        <f aca="true" t="shared" si="32" ref="W86:W106">"211:化学"</f>
        <v>211:化学</v>
      </c>
      <c r="X86" s="4" t="str">
        <f t="shared" si="28"/>
        <v>通过</v>
      </c>
    </row>
    <row r="87" spans="1:24" s="1" customFormat="1" ht="99.75">
      <c r="A87" s="4" t="str">
        <f>"2"</f>
        <v>2</v>
      </c>
      <c r="B87" s="4" t="str">
        <f>"王雪琼"</f>
        <v>王雪琼</v>
      </c>
      <c r="C87" s="4" t="str">
        <f>"女        "</f>
        <v>女        </v>
      </c>
      <c r="D87" s="4" t="str">
        <f>"汉族"</f>
        <v>汉族</v>
      </c>
      <c r="E87" s="4" t="str">
        <f>"云南省昆明市寻甸县"</f>
        <v>云南省昆明市寻甸县</v>
      </c>
      <c r="F87" s="4" t="str">
        <f>"1992年11月"</f>
        <v>1992年11月</v>
      </c>
      <c r="G87" s="4" t="str">
        <f t="shared" si="31"/>
        <v>共青团员</v>
      </c>
      <c r="H87" s="4" t="str">
        <f>"530129199211022529"</f>
        <v>530129199211022529</v>
      </c>
      <c r="I87" s="4" t="str">
        <f>"曲靖师范学化学"</f>
        <v>曲靖师范学化学</v>
      </c>
      <c r="J87" s="4" t="str">
        <f>"化学"</f>
        <v>化学</v>
      </c>
      <c r="K87" s="4" t="str">
        <f t="shared" si="21"/>
        <v>本科学士</v>
      </c>
      <c r="L87" s="4" t="str">
        <f>"18388310760"</f>
        <v>18388310760</v>
      </c>
      <c r="M87" s="4" t="str">
        <f t="shared" si="26"/>
        <v>隆林县</v>
      </c>
      <c r="N87" s="4" t="str">
        <f>"云南省昆明市寻甸回族彝族自治县凤合镇大庆村委会大箐"</f>
        <v>云南省昆明市寻甸回族彝族自治县凤合镇大庆村委会大箐</v>
      </c>
      <c r="O87" s="4" t="str">
        <f>"1561468319@qq.com"</f>
        <v>1561468319@qq.com</v>
      </c>
      <c r="P87" s="4">
        <f>""</f>
      </c>
      <c r="Q87" s="4" t="str">
        <f>"2017.06.01"</f>
        <v>2017.06.01</v>
      </c>
      <c r="R87" s="4" t="str">
        <f>"是"</f>
        <v>是</v>
      </c>
      <c r="S87" s="4" t="str">
        <f>"4:高级中学"</f>
        <v>4:高级中学</v>
      </c>
      <c r="T87" s="4" t="str">
        <f>"1068442017900900"</f>
        <v>1068442017900900</v>
      </c>
      <c r="U87" s="4" t="str">
        <f>"106841201705000982"</f>
        <v>106841201705000982</v>
      </c>
      <c r="V87" s="4" t="str">
        <f t="shared" si="27"/>
        <v>初中</v>
      </c>
      <c r="W87" s="4" t="str">
        <f t="shared" si="32"/>
        <v>211:化学</v>
      </c>
      <c r="X87" s="4" t="str">
        <f t="shared" si="28"/>
        <v>通过</v>
      </c>
    </row>
    <row r="88" spans="1:24" s="1" customFormat="1" ht="99.75">
      <c r="A88" s="4" t="str">
        <f>"3"</f>
        <v>3</v>
      </c>
      <c r="B88" s="4" t="str">
        <f>"张仕妹"</f>
        <v>张仕妹</v>
      </c>
      <c r="C88" s="4" t="str">
        <f>"女        "</f>
        <v>女        </v>
      </c>
      <c r="D88" s="4" t="str">
        <f>"汉族"</f>
        <v>汉族</v>
      </c>
      <c r="E88" s="4" t="str">
        <f>"广西隆林各族自治县"</f>
        <v>广西隆林各族自治县</v>
      </c>
      <c r="F88" s="4" t="str">
        <f>"1992年09月"</f>
        <v>1992年09月</v>
      </c>
      <c r="G88" s="4" t="str">
        <f t="shared" si="31"/>
        <v>共青团员</v>
      </c>
      <c r="H88" s="4" t="str">
        <f>"452631199209060324"</f>
        <v>452631199209060324</v>
      </c>
      <c r="I88" s="4" t="str">
        <f>"玉林师范学院化学"</f>
        <v>玉林师范学院化学</v>
      </c>
      <c r="J88" s="4" t="str">
        <f>"化学"</f>
        <v>化学</v>
      </c>
      <c r="K88" s="4" t="str">
        <f t="shared" si="21"/>
        <v>本科学士</v>
      </c>
      <c r="L88" s="4" t="str">
        <f>"18878551637"</f>
        <v>18878551637</v>
      </c>
      <c r="M88" s="4" t="str">
        <f t="shared" si="26"/>
        <v>隆林县</v>
      </c>
      <c r="N88" s="4" t="str">
        <f>"广西百色市隆林各族自治县桠杈镇忠义村龙干汉屯043号"</f>
        <v>广西百色市隆林各族自治县桠杈镇忠义村龙干汉屯043号</v>
      </c>
      <c r="O88" s="4" t="str">
        <f>"1425647269@qq.com"</f>
        <v>1425647269@qq.com</v>
      </c>
      <c r="P88" s="4">
        <f>""</f>
      </c>
      <c r="Q88" s="4" t="str">
        <f>"2017.06.01"</f>
        <v>2017.06.01</v>
      </c>
      <c r="R88" s="4" t="str">
        <f>"是"</f>
        <v>是</v>
      </c>
      <c r="S88" s="4" t="str">
        <f>"4:高级中学"</f>
        <v>4:高级中学</v>
      </c>
      <c r="T88" s="4" t="str">
        <f>"无"</f>
        <v>无</v>
      </c>
      <c r="U88" s="4" t="str">
        <f>"无"</f>
        <v>无</v>
      </c>
      <c r="V88" s="4" t="str">
        <f t="shared" si="27"/>
        <v>初中</v>
      </c>
      <c r="W88" s="4" t="str">
        <f t="shared" si="32"/>
        <v>211:化学</v>
      </c>
      <c r="X88" s="4" t="str">
        <f t="shared" si="28"/>
        <v>通过</v>
      </c>
    </row>
    <row r="89" spans="1:24" s="1" customFormat="1" ht="71.25">
      <c r="A89" s="4" t="str">
        <f>"4"</f>
        <v>4</v>
      </c>
      <c r="B89" s="4" t="str">
        <f>"俞柠"</f>
        <v>俞柠</v>
      </c>
      <c r="C89" s="4" t="str">
        <f>"男        "</f>
        <v>男        </v>
      </c>
      <c r="D89" s="4" t="str">
        <f>"汉族"</f>
        <v>汉族</v>
      </c>
      <c r="E89" s="4" t="str">
        <f>"百色市隆林县"</f>
        <v>百色市隆林县</v>
      </c>
      <c r="F89" s="4" t="str">
        <f>"1994年12月"</f>
        <v>1994年12月</v>
      </c>
      <c r="G89" s="4" t="str">
        <f t="shared" si="31"/>
        <v>共青团员</v>
      </c>
      <c r="H89" s="4" t="str">
        <f>"452631199412210973"</f>
        <v>452631199412210973</v>
      </c>
      <c r="I89" s="4" t="str">
        <f>"百色学院金属材料工程"</f>
        <v>百色学院金属材料工程</v>
      </c>
      <c r="J89" s="4" t="str">
        <f>"金属材料工程"</f>
        <v>金属材料工程</v>
      </c>
      <c r="K89" s="4" t="str">
        <f t="shared" si="21"/>
        <v>本科学士</v>
      </c>
      <c r="L89" s="4" t="str">
        <f>"18778684528"</f>
        <v>18778684528</v>
      </c>
      <c r="M89" s="4" t="str">
        <f t="shared" si="26"/>
        <v>隆林县</v>
      </c>
      <c r="N89" s="4" t="str">
        <f>"广西百色市隆林县隆或镇马宗村龙伞屯"</f>
        <v>广西百色市隆林县隆或镇马宗村龙伞屯</v>
      </c>
      <c r="O89" s="4" t="str">
        <f>"1337821444@qq.com"</f>
        <v>1337821444@qq.com</v>
      </c>
      <c r="P89" s="4">
        <f>""</f>
      </c>
      <c r="Q89" s="4" t="str">
        <f>"2017.06.01"</f>
        <v>2017.06.01</v>
      </c>
      <c r="R89" s="4" t="str">
        <f>"不是"</f>
        <v>不是</v>
      </c>
      <c r="S89" s="4" t="str">
        <f>"0:暂未取得"</f>
        <v>0:暂未取得</v>
      </c>
      <c r="T89" s="4" t="str">
        <f>"2017届毕业生填暂无"</f>
        <v>2017届毕业生填暂无</v>
      </c>
      <c r="U89" s="4" t="str">
        <f>"2017届毕业生填暂无"</f>
        <v>2017届毕业生填暂无</v>
      </c>
      <c r="V89" s="4" t="str">
        <f t="shared" si="27"/>
        <v>初中</v>
      </c>
      <c r="W89" s="4" t="str">
        <f t="shared" si="32"/>
        <v>211:化学</v>
      </c>
      <c r="X89" s="4" t="str">
        <f t="shared" si="28"/>
        <v>通过</v>
      </c>
    </row>
    <row r="90" spans="1:24" s="1" customFormat="1" ht="85.5">
      <c r="A90" s="4" t="str">
        <f>"5"</f>
        <v>5</v>
      </c>
      <c r="B90" s="4" t="str">
        <f>"熊华"</f>
        <v>熊华</v>
      </c>
      <c r="C90" s="4" t="str">
        <f>"男        "</f>
        <v>男        </v>
      </c>
      <c r="D90" s="4" t="str">
        <f>"苗族"</f>
        <v>苗族</v>
      </c>
      <c r="E90" s="4" t="str">
        <f>"广西隆林"</f>
        <v>广西隆林</v>
      </c>
      <c r="F90" s="4" t="str">
        <f>"1991年06月"</f>
        <v>1991年06月</v>
      </c>
      <c r="G90" s="4" t="str">
        <f t="shared" si="31"/>
        <v>共青团员</v>
      </c>
      <c r="H90" s="4" t="str">
        <f>"452631199106123716"</f>
        <v>452631199106123716</v>
      </c>
      <c r="I90" s="4" t="str">
        <f>"广西民族大学化学工程与工艺"</f>
        <v>广西民族大学化学工程与工艺</v>
      </c>
      <c r="J90" s="4" t="str">
        <f>"化学工程与工艺"</f>
        <v>化学工程与工艺</v>
      </c>
      <c r="K90" s="4" t="str">
        <f t="shared" si="21"/>
        <v>本科学士</v>
      </c>
      <c r="L90" s="4" t="str">
        <f>"18777625420"</f>
        <v>18777625420</v>
      </c>
      <c r="M90" s="4" t="str">
        <f t="shared" si="26"/>
        <v>隆林县</v>
      </c>
      <c r="N90" s="4" t="str">
        <f>"广西壮族自治区隆林各族自治县猪场乡那伟村洞沟屯"</f>
        <v>广西壮族自治区隆林各族自治县猪场乡那伟村洞沟屯</v>
      </c>
      <c r="O90" s="4" t="str">
        <f>"675833926@qq.com"</f>
        <v>675833926@qq.com</v>
      </c>
      <c r="P90" s="4">
        <f>""</f>
      </c>
      <c r="Q90" s="4" t="str">
        <f>"2015.09.01"</f>
        <v>2015.09.01</v>
      </c>
      <c r="R90" s="4" t="str">
        <f>"不是"</f>
        <v>不是</v>
      </c>
      <c r="S90" s="4" t="str">
        <f>"3:初级中学"</f>
        <v>3:初级中学</v>
      </c>
      <c r="T90" s="4" t="str">
        <f>"2016453033443"</f>
        <v>2016453033443</v>
      </c>
      <c r="U90" s="4" t="str">
        <f>"106081201505001072"</f>
        <v>106081201505001072</v>
      </c>
      <c r="V90" s="4" t="str">
        <f t="shared" si="27"/>
        <v>初中</v>
      </c>
      <c r="W90" s="4" t="str">
        <f t="shared" si="32"/>
        <v>211:化学</v>
      </c>
      <c r="X90" s="4" t="str">
        <f t="shared" si="28"/>
        <v>通过</v>
      </c>
    </row>
    <row r="91" spans="1:24" s="1" customFormat="1" ht="71.25">
      <c r="A91" s="4" t="str">
        <f>"6"</f>
        <v>6</v>
      </c>
      <c r="B91" s="4" t="str">
        <f>"韦小红"</f>
        <v>韦小红</v>
      </c>
      <c r="C91" s="4" t="str">
        <f>"女        "</f>
        <v>女        </v>
      </c>
      <c r="D91" s="4" t="str">
        <f>"壮族"</f>
        <v>壮族</v>
      </c>
      <c r="E91" s="4" t="str">
        <f>"广西田东县"</f>
        <v>广西田东县</v>
      </c>
      <c r="F91" s="4" t="str">
        <f>"1995年01月"</f>
        <v>1995年01月</v>
      </c>
      <c r="G91" s="4" t="str">
        <f t="shared" si="31"/>
        <v>共青团员</v>
      </c>
      <c r="H91" s="4" t="str">
        <f>"452623199501180622"</f>
        <v>452623199501180622</v>
      </c>
      <c r="I91" s="4" t="str">
        <f>"广西民族师范学院化学"</f>
        <v>广西民族师范学院化学</v>
      </c>
      <c r="J91" s="4" t="str">
        <f>"化学"</f>
        <v>化学</v>
      </c>
      <c r="K91" s="4" t="str">
        <f t="shared" si="21"/>
        <v>本科学士</v>
      </c>
      <c r="L91" s="4" t="str">
        <f>"13277846090"</f>
        <v>13277846090</v>
      </c>
      <c r="M91" s="4" t="str">
        <f t="shared" si="26"/>
        <v>隆林县</v>
      </c>
      <c r="N91" s="4" t="str">
        <f>"广西百色市田东县祥周镇联福村六晓屯21号"</f>
        <v>广西百色市田东县祥周镇联福村六晓屯21号</v>
      </c>
      <c r="O91" s="4" t="str">
        <f>"1013978460@qq.com"</f>
        <v>1013978460@qq.com</v>
      </c>
      <c r="P91" s="4">
        <f>""</f>
      </c>
      <c r="Q91" s="4" t="str">
        <f>"2017.07.01"</f>
        <v>2017.07.01</v>
      </c>
      <c r="R91" s="4" t="str">
        <f>"是"</f>
        <v>是</v>
      </c>
      <c r="S91" s="4" t="str">
        <f>"4:高级中学"</f>
        <v>4:高级中学</v>
      </c>
      <c r="T91" s="4" t="str">
        <f>"暂无"</f>
        <v>暂无</v>
      </c>
      <c r="U91" s="4" t="str">
        <f>"暂无"</f>
        <v>暂无</v>
      </c>
      <c r="V91" s="4" t="str">
        <f t="shared" si="27"/>
        <v>初中</v>
      </c>
      <c r="W91" s="4" t="str">
        <f t="shared" si="32"/>
        <v>211:化学</v>
      </c>
      <c r="X91" s="4" t="str">
        <f t="shared" si="28"/>
        <v>通过</v>
      </c>
    </row>
    <row r="92" spans="1:24" s="1" customFormat="1" ht="71.25">
      <c r="A92" s="4" t="str">
        <f>"7"</f>
        <v>7</v>
      </c>
      <c r="B92" s="4" t="str">
        <f>"冯卫玲"</f>
        <v>冯卫玲</v>
      </c>
      <c r="C92" s="4" t="str">
        <f>"女        "</f>
        <v>女        </v>
      </c>
      <c r="D92" s="4" t="str">
        <f>"壮族"</f>
        <v>壮族</v>
      </c>
      <c r="E92" s="4" t="str">
        <f>"广西那坡县"</f>
        <v>广西那坡县</v>
      </c>
      <c r="F92" s="4" t="str">
        <f>"1993年09月"</f>
        <v>1993年09月</v>
      </c>
      <c r="G92" s="4" t="str">
        <f t="shared" si="31"/>
        <v>共青团员</v>
      </c>
      <c r="H92" s="4" t="str">
        <f>"452627199309141127"</f>
        <v>452627199309141127</v>
      </c>
      <c r="I92" s="4" t="str">
        <f>"广西师范大学化学"</f>
        <v>广西师范大学化学</v>
      </c>
      <c r="J92" s="4" t="str">
        <f>"化学"</f>
        <v>化学</v>
      </c>
      <c r="K92" s="4" t="str">
        <f t="shared" si="21"/>
        <v>本科学士</v>
      </c>
      <c r="L92" s="4" t="str">
        <f>"18174950803"</f>
        <v>18174950803</v>
      </c>
      <c r="M92" s="4" t="str">
        <f t="shared" si="26"/>
        <v>隆林县</v>
      </c>
      <c r="N92" s="4" t="str">
        <f>"广西百色市那坡县百合乡栋英村那怀屯"</f>
        <v>广西百色市那坡县百合乡栋英村那怀屯</v>
      </c>
      <c r="O92" s="4" t="str">
        <f>"487408313@qq.com"</f>
        <v>487408313@qq.com</v>
      </c>
      <c r="P92" s="4" t="str">
        <f>"2017.05.01"</f>
        <v>2017.05.01</v>
      </c>
      <c r="Q92" s="4" t="str">
        <f>"2017.06.01"</f>
        <v>2017.06.01</v>
      </c>
      <c r="R92" s="4" t="str">
        <f>"是"</f>
        <v>是</v>
      </c>
      <c r="S92" s="4" t="str">
        <f>"4:高级中学"</f>
        <v>4:高级中学</v>
      </c>
      <c r="T92" s="4" t="str">
        <f>"暂无"</f>
        <v>暂无</v>
      </c>
      <c r="U92" s="4" t="str">
        <f>"暂无"</f>
        <v>暂无</v>
      </c>
      <c r="V92" s="4" t="str">
        <f t="shared" si="27"/>
        <v>初中</v>
      </c>
      <c r="W92" s="4" t="str">
        <f t="shared" si="32"/>
        <v>211:化学</v>
      </c>
      <c r="X92" s="4" t="str">
        <f t="shared" si="28"/>
        <v>通过</v>
      </c>
    </row>
    <row r="93" spans="1:24" s="1" customFormat="1" ht="71.25">
      <c r="A93" s="4" t="str">
        <f>"8"</f>
        <v>8</v>
      </c>
      <c r="B93" s="4" t="str">
        <f>"付梅"</f>
        <v>付梅</v>
      </c>
      <c r="C93" s="4" t="str">
        <f>"女        "</f>
        <v>女        </v>
      </c>
      <c r="D93" s="4" t="str">
        <f>"汉族"</f>
        <v>汉族</v>
      </c>
      <c r="E93" s="4" t="str">
        <f>"云南富源"</f>
        <v>云南富源</v>
      </c>
      <c r="F93" s="4" t="str">
        <f>"1994年11月"</f>
        <v>1994年11月</v>
      </c>
      <c r="G93" s="4" t="str">
        <f t="shared" si="31"/>
        <v>共青团员</v>
      </c>
      <c r="H93" s="4" t="str">
        <f>"530325199411241203"</f>
        <v>530325199411241203</v>
      </c>
      <c r="I93" s="4" t="str">
        <f>"曲靖师范学院化学"</f>
        <v>曲靖师范学院化学</v>
      </c>
      <c r="J93" s="4" t="str">
        <f>"化学"</f>
        <v>化学</v>
      </c>
      <c r="K93" s="4" t="str">
        <f t="shared" si="21"/>
        <v>本科学士</v>
      </c>
      <c r="L93" s="4" t="str">
        <f>"13732703476"</f>
        <v>13732703476</v>
      </c>
      <c r="M93" s="4" t="str">
        <f t="shared" si="26"/>
        <v>隆林县</v>
      </c>
      <c r="N93" s="4" t="str">
        <f>"云南省曲靖市富源县营上镇海戛村委会"</f>
        <v>云南省曲靖市富源县营上镇海戛村委会</v>
      </c>
      <c r="O93" s="4" t="str">
        <f>"2818100152@qq.com"</f>
        <v>2818100152@qq.com</v>
      </c>
      <c r="P93" s="4" t="str">
        <f>"2016.09.01"</f>
        <v>2016.09.01</v>
      </c>
      <c r="Q93" s="4" t="str">
        <f>"2016.06.01"</f>
        <v>2016.06.01</v>
      </c>
      <c r="R93" s="4" t="str">
        <f>"是"</f>
        <v>是</v>
      </c>
      <c r="S93" s="4" t="str">
        <f>"4:高级中学"</f>
        <v>4:高级中学</v>
      </c>
      <c r="T93" s="4" t="str">
        <f>"20165302842000605"</f>
        <v>20165302842000605</v>
      </c>
      <c r="U93" s="4" t="str">
        <f>"10684120165003072"</f>
        <v>10684120165003072</v>
      </c>
      <c r="V93" s="4" t="str">
        <f t="shared" si="27"/>
        <v>初中</v>
      </c>
      <c r="W93" s="4" t="str">
        <f t="shared" si="32"/>
        <v>211:化学</v>
      </c>
      <c r="X93" s="4" t="str">
        <f t="shared" si="28"/>
        <v>通过</v>
      </c>
    </row>
    <row r="94" spans="1:24" s="1" customFormat="1" ht="71.25">
      <c r="A94" s="4" t="str">
        <f>"9"</f>
        <v>9</v>
      </c>
      <c r="B94" s="4" t="str">
        <f>"安应军"</f>
        <v>安应军</v>
      </c>
      <c r="C94" s="4" t="str">
        <f>"男        "</f>
        <v>男        </v>
      </c>
      <c r="D94" s="4" t="str">
        <f>"苗族"</f>
        <v>苗族</v>
      </c>
      <c r="E94" s="4" t="str">
        <f>"广西隆林"</f>
        <v>广西隆林</v>
      </c>
      <c r="F94" s="4" t="str">
        <f>"1993年04月"</f>
        <v>1993年04月</v>
      </c>
      <c r="G94" s="4" t="str">
        <f>"群众"</f>
        <v>群众</v>
      </c>
      <c r="H94" s="4" t="str">
        <f>"452631199304053739"</f>
        <v>452631199304053739</v>
      </c>
      <c r="I94" s="4" t="str">
        <f>"广西科技大学化学工程与工艺"</f>
        <v>广西科技大学化学工程与工艺</v>
      </c>
      <c r="J94" s="4" t="str">
        <f>"化学工程与工艺"</f>
        <v>化学工程与工艺</v>
      </c>
      <c r="K94" s="4" t="str">
        <f>"本科无学位"</f>
        <v>本科无学位</v>
      </c>
      <c r="L94" s="4" t="str">
        <f>"15577273683"</f>
        <v>15577273683</v>
      </c>
      <c r="M94" s="4" t="str">
        <f t="shared" si="26"/>
        <v>隆林县</v>
      </c>
      <c r="N94" s="4" t="str">
        <f>"广西隆林各族自治县猪场乡烂木干村卡规屯"</f>
        <v>广西隆林各族自治县猪场乡烂木干村卡规屯</v>
      </c>
      <c r="O94" s="4" t="str">
        <f>"1528060717@qq.com"</f>
        <v>1528060717@qq.com</v>
      </c>
      <c r="P94" s="4" t="str">
        <f>"2017.03.01"</f>
        <v>2017.03.01</v>
      </c>
      <c r="Q94" s="4" t="str">
        <f>"2017.07.01"</f>
        <v>2017.07.01</v>
      </c>
      <c r="R94" s="4" t="str">
        <f>"不是"</f>
        <v>不是</v>
      </c>
      <c r="S94" s="4" t="str">
        <f>"0:暂未取得"</f>
        <v>0:暂未取得</v>
      </c>
      <c r="T94" s="4" t="str">
        <f>"2017届毕业生填暂无"</f>
        <v>2017届毕业生填暂无</v>
      </c>
      <c r="U94" s="4" t="str">
        <f>"2017届毕业生填暂无"</f>
        <v>2017届毕业生填暂无</v>
      </c>
      <c r="V94" s="4" t="str">
        <f t="shared" si="27"/>
        <v>初中</v>
      </c>
      <c r="W94" s="4" t="str">
        <f t="shared" si="32"/>
        <v>211:化学</v>
      </c>
      <c r="X94" s="4" t="str">
        <f t="shared" si="28"/>
        <v>通过</v>
      </c>
    </row>
    <row r="95" spans="1:24" s="1" customFormat="1" ht="71.25">
      <c r="A95" s="4" t="str">
        <f>"10"</f>
        <v>10</v>
      </c>
      <c r="B95" s="4" t="str">
        <f>"黄彩丽"</f>
        <v>黄彩丽</v>
      </c>
      <c r="C95" s="4" t="str">
        <f>"女        "</f>
        <v>女        </v>
      </c>
      <c r="D95" s="4" t="str">
        <f>"壮族"</f>
        <v>壮族</v>
      </c>
      <c r="E95" s="4" t="str">
        <f>"广西隆林各族自治县"</f>
        <v>广西隆林各族自治县</v>
      </c>
      <c r="F95" s="4" t="str">
        <f>"1993年01月"</f>
        <v>1993年01月</v>
      </c>
      <c r="G95" s="4" t="str">
        <f>"中共党员"</f>
        <v>中共党员</v>
      </c>
      <c r="H95" s="4" t="str">
        <f>"452631199301280768"</f>
        <v>452631199301280768</v>
      </c>
      <c r="I95" s="4" t="str">
        <f>"百色学院化学"</f>
        <v>百色学院化学</v>
      </c>
      <c r="J95" s="4" t="str">
        <f>"化学"</f>
        <v>化学</v>
      </c>
      <c r="K95" s="4" t="str">
        <f>"本科学士"</f>
        <v>本科学士</v>
      </c>
      <c r="L95" s="4" t="str">
        <f>"15878604105"</f>
        <v>15878604105</v>
      </c>
      <c r="M95" s="4" t="str">
        <f t="shared" si="26"/>
        <v>隆林县</v>
      </c>
      <c r="N95" s="4" t="str">
        <f>"广西隆林各族自治县平班镇委哉村顶考屯32号"</f>
        <v>广西隆林各族自治县平班镇委哉村顶考屯32号</v>
      </c>
      <c r="O95" s="4" t="str">
        <f>"1287547186@qq.com"</f>
        <v>1287547186@qq.com</v>
      </c>
      <c r="P95" s="4" t="str">
        <f>"2017.05.01"</f>
        <v>2017.05.01</v>
      </c>
      <c r="Q95" s="4" t="str">
        <f>"2017.06.01"</f>
        <v>2017.06.01</v>
      </c>
      <c r="R95" s="4" t="str">
        <f>"是"</f>
        <v>是</v>
      </c>
      <c r="S95" s="4" t="str">
        <f>"4:高级中学"</f>
        <v>4:高级中学</v>
      </c>
      <c r="T95" s="4" t="str">
        <f>"无"</f>
        <v>无</v>
      </c>
      <c r="U95" s="4" t="str">
        <f>"无"</f>
        <v>无</v>
      </c>
      <c r="V95" s="4" t="str">
        <f t="shared" si="27"/>
        <v>初中</v>
      </c>
      <c r="W95" s="4" t="str">
        <f t="shared" si="32"/>
        <v>211:化学</v>
      </c>
      <c r="X95" s="4" t="str">
        <f t="shared" si="28"/>
        <v>通过</v>
      </c>
    </row>
    <row r="96" spans="1:24" s="1" customFormat="1" ht="57">
      <c r="A96" s="4" t="str">
        <f>"11"</f>
        <v>11</v>
      </c>
      <c r="B96" s="4" t="str">
        <f>"陈敏"</f>
        <v>陈敏</v>
      </c>
      <c r="C96" s="4" t="str">
        <f>"女        "</f>
        <v>女        </v>
      </c>
      <c r="D96" s="4" t="str">
        <f>"布依族"</f>
        <v>布依族</v>
      </c>
      <c r="E96" s="4" t="str">
        <f>"贵州省兴仁县"</f>
        <v>贵州省兴仁县</v>
      </c>
      <c r="F96" s="4" t="str">
        <f>"1992年03月"</f>
        <v>1992年03月</v>
      </c>
      <c r="G96" s="4" t="str">
        <f>"中共党员"</f>
        <v>中共党员</v>
      </c>
      <c r="H96" s="4" t="str">
        <f>"52232219920301244X"</f>
        <v>52232219920301244X</v>
      </c>
      <c r="I96" s="4" t="str">
        <f>"贵州大学制药工程"</f>
        <v>贵州大学制药工程</v>
      </c>
      <c r="J96" s="4" t="str">
        <f>"制药工程"</f>
        <v>制药工程</v>
      </c>
      <c r="K96" s="4" t="str">
        <f>"本科学士"</f>
        <v>本科学士</v>
      </c>
      <c r="L96" s="4" t="str">
        <f>"18798061450"</f>
        <v>18798061450</v>
      </c>
      <c r="M96" s="4" t="str">
        <f t="shared" si="26"/>
        <v>隆林县</v>
      </c>
      <c r="N96" s="4" t="str">
        <f>"贵州省兴仁县四联乡六村连二组9号"</f>
        <v>贵州省兴仁县四联乡六村连二组9号</v>
      </c>
      <c r="O96" s="4" t="str">
        <f>"734038280@qq.com"</f>
        <v>734038280@qq.com</v>
      </c>
      <c r="P96" s="4">
        <f>""</f>
      </c>
      <c r="Q96" s="4" t="str">
        <f>"2016.07.01"</f>
        <v>2016.07.01</v>
      </c>
      <c r="R96" s="4" t="str">
        <f>"不是"</f>
        <v>不是</v>
      </c>
      <c r="S96" s="4" t="str">
        <f>"4:高级中学"</f>
        <v>4:高级中学</v>
      </c>
      <c r="T96" s="4" t="str">
        <f>"20165210042008504"</f>
        <v>20165210042008504</v>
      </c>
      <c r="U96" s="4" t="str">
        <f>"106571201605006144"</f>
        <v>106571201605006144</v>
      </c>
      <c r="V96" s="4" t="str">
        <f t="shared" si="27"/>
        <v>初中</v>
      </c>
      <c r="W96" s="4" t="str">
        <f t="shared" si="32"/>
        <v>211:化学</v>
      </c>
      <c r="X96" s="4" t="str">
        <f t="shared" si="28"/>
        <v>通过</v>
      </c>
    </row>
    <row r="97" spans="1:24" s="1" customFormat="1" ht="85.5">
      <c r="A97" s="4" t="str">
        <f>"12"</f>
        <v>12</v>
      </c>
      <c r="B97" s="4" t="str">
        <f>"孙俊飞"</f>
        <v>孙俊飞</v>
      </c>
      <c r="C97" s="4" t="str">
        <f>"男        "</f>
        <v>男        </v>
      </c>
      <c r="D97" s="4" t="str">
        <f>"汉族"</f>
        <v>汉族</v>
      </c>
      <c r="E97" s="4" t="str">
        <f>"云南省曲靖市陆良县"</f>
        <v>云南省曲靖市陆良县</v>
      </c>
      <c r="F97" s="4" t="str">
        <f>"1991年02月"</f>
        <v>1991年02月</v>
      </c>
      <c r="G97" s="4" t="str">
        <f>"共青团员"</f>
        <v>共青团员</v>
      </c>
      <c r="H97" s="4" t="str">
        <f>"530322199102151037"</f>
        <v>530322199102151037</v>
      </c>
      <c r="I97" s="4" t="str">
        <f>"岭南师范学院化学"</f>
        <v>岭南师范学院化学</v>
      </c>
      <c r="J97" s="4" t="str">
        <f aca="true" t="shared" si="33" ref="J97:J102">"化学"</f>
        <v>化学</v>
      </c>
      <c r="K97" s="4" t="str">
        <f>"本科无学位"</f>
        <v>本科无学位</v>
      </c>
      <c r="L97" s="4" t="str">
        <f>"15208747004"</f>
        <v>15208747004</v>
      </c>
      <c r="M97" s="4" t="str">
        <f t="shared" si="26"/>
        <v>隆林县</v>
      </c>
      <c r="N97" s="4" t="str">
        <f>"云南省曲靖市陆良县三岔河镇大马路村7组488号"</f>
        <v>云南省曲靖市陆良县三岔河镇大马路村7组488号</v>
      </c>
      <c r="O97" s="4" t="str">
        <f>"1154912335@qq.com"</f>
        <v>1154912335@qq.com</v>
      </c>
      <c r="P97" s="4">
        <f>""</f>
      </c>
      <c r="Q97" s="4" t="str">
        <f>"2015.06.01"</f>
        <v>2015.06.01</v>
      </c>
      <c r="R97" s="4" t="str">
        <f>"是"</f>
        <v>是</v>
      </c>
      <c r="S97" s="4" t="str">
        <f>"4:高级中学"</f>
        <v>4:高级中学</v>
      </c>
      <c r="T97" s="4" t="str">
        <f>"20144406141002230"</f>
        <v>20144406141002230</v>
      </c>
      <c r="U97" s="4" t="str">
        <f>"105791201405000819"</f>
        <v>105791201405000819</v>
      </c>
      <c r="V97" s="4" t="str">
        <f t="shared" si="27"/>
        <v>初中</v>
      </c>
      <c r="W97" s="4" t="str">
        <f t="shared" si="32"/>
        <v>211:化学</v>
      </c>
      <c r="X97" s="4" t="str">
        <f t="shared" si="28"/>
        <v>通过</v>
      </c>
    </row>
    <row r="98" spans="1:24" s="1" customFormat="1" ht="71.25">
      <c r="A98" s="4" t="str">
        <f>"13"</f>
        <v>13</v>
      </c>
      <c r="B98" s="4" t="str">
        <f>"农永恒"</f>
        <v>农永恒</v>
      </c>
      <c r="C98" s="4" t="str">
        <f>"男        "</f>
        <v>男        </v>
      </c>
      <c r="D98" s="4" t="str">
        <f>"壮族"</f>
        <v>壮族</v>
      </c>
      <c r="E98" s="4" t="str">
        <f>"广西德保县"</f>
        <v>广西德保县</v>
      </c>
      <c r="F98" s="4" t="str">
        <f>"1995年02月"</f>
        <v>1995年02月</v>
      </c>
      <c r="G98" s="4" t="str">
        <f>"中共预备党员"</f>
        <v>中共预备党员</v>
      </c>
      <c r="H98" s="4" t="str">
        <f>"452625199502072837"</f>
        <v>452625199502072837</v>
      </c>
      <c r="I98" s="4" t="str">
        <f>"广西民族师范学院化学"</f>
        <v>广西民族师范学院化学</v>
      </c>
      <c r="J98" s="4" t="str">
        <f t="shared" si="33"/>
        <v>化学</v>
      </c>
      <c r="K98" s="4" t="str">
        <f aca="true" t="shared" si="34" ref="K98:K135">"本科学士"</f>
        <v>本科学士</v>
      </c>
      <c r="L98" s="4" t="str">
        <f>"18275919390"</f>
        <v>18275919390</v>
      </c>
      <c r="M98" s="4" t="str">
        <f t="shared" si="26"/>
        <v>隆林县</v>
      </c>
      <c r="N98" s="4" t="str">
        <f>"广西德保县龙光乡那印村洪汤屯119号"</f>
        <v>广西德保县龙光乡那印村洪汤屯119号</v>
      </c>
      <c r="O98" s="4" t="str">
        <f>"1070386682@qq.com"</f>
        <v>1070386682@qq.com</v>
      </c>
      <c r="P98" s="4">
        <f>""</f>
      </c>
      <c r="Q98" s="4" t="str">
        <f>"2017.07.01"</f>
        <v>2017.07.01</v>
      </c>
      <c r="R98" s="4" t="str">
        <f>"是"</f>
        <v>是</v>
      </c>
      <c r="S98" s="4" t="str">
        <f>"4:高级中学"</f>
        <v>4:高级中学</v>
      </c>
      <c r="T98" s="4" t="str">
        <f>"暂无"</f>
        <v>暂无</v>
      </c>
      <c r="U98" s="4" t="str">
        <f>"暂无"</f>
        <v>暂无</v>
      </c>
      <c r="V98" s="4" t="str">
        <f t="shared" si="27"/>
        <v>初中</v>
      </c>
      <c r="W98" s="4" t="str">
        <f t="shared" si="32"/>
        <v>211:化学</v>
      </c>
      <c r="X98" s="4" t="str">
        <f t="shared" si="28"/>
        <v>通过</v>
      </c>
    </row>
    <row r="99" spans="1:24" s="1" customFormat="1" ht="57">
      <c r="A99" s="4" t="str">
        <f>"14"</f>
        <v>14</v>
      </c>
      <c r="B99" s="4" t="str">
        <f>"吴秀杰"</f>
        <v>吴秀杰</v>
      </c>
      <c r="C99" s="4" t="str">
        <f>"男        "</f>
        <v>男        </v>
      </c>
      <c r="D99" s="4" t="str">
        <f>"壮族"</f>
        <v>壮族</v>
      </c>
      <c r="E99" s="4" t="str">
        <f>"广西百色隆林县"</f>
        <v>广西百色隆林县</v>
      </c>
      <c r="F99" s="4" t="str">
        <f>"1995年12月"</f>
        <v>1995年12月</v>
      </c>
      <c r="G99" s="4" t="str">
        <f aca="true" t="shared" si="35" ref="G99:G113">"共青团员"</f>
        <v>共青团员</v>
      </c>
      <c r="H99" s="4" t="str">
        <f>"452631199512212052"</f>
        <v>452631199512212052</v>
      </c>
      <c r="I99" s="4" t="str">
        <f>"广西民族师范学院化学"</f>
        <v>广西民族师范学院化学</v>
      </c>
      <c r="J99" s="4" t="str">
        <f t="shared" si="33"/>
        <v>化学</v>
      </c>
      <c r="K99" s="4" t="str">
        <f t="shared" si="34"/>
        <v>本科学士</v>
      </c>
      <c r="L99" s="4" t="str">
        <f>"18978132754"</f>
        <v>18978132754</v>
      </c>
      <c r="M99" s="4" t="str">
        <f t="shared" si="26"/>
        <v>隆林县</v>
      </c>
      <c r="N99" s="4" t="str">
        <f>"广西百色市隆林县迎宾路1750号"</f>
        <v>广西百色市隆林县迎宾路1750号</v>
      </c>
      <c r="O99" s="4" t="str">
        <f>"183244305@qq.com"</f>
        <v>183244305@qq.com</v>
      </c>
      <c r="P99" s="4">
        <f>""</f>
      </c>
      <c r="Q99" s="4" t="str">
        <f>"2017.07.01"</f>
        <v>2017.07.01</v>
      </c>
      <c r="R99" s="4" t="str">
        <f>"不是"</f>
        <v>不是</v>
      </c>
      <c r="S99" s="4" t="str">
        <f>"3:初级中学"</f>
        <v>3:初级中学</v>
      </c>
      <c r="T99" s="4" t="str">
        <f>"暂无"</f>
        <v>暂无</v>
      </c>
      <c r="U99" s="4" t="str">
        <f>"暂无"</f>
        <v>暂无</v>
      </c>
      <c r="V99" s="4" t="str">
        <f t="shared" si="27"/>
        <v>初中</v>
      </c>
      <c r="W99" s="4" t="str">
        <f t="shared" si="32"/>
        <v>211:化学</v>
      </c>
      <c r="X99" s="4" t="str">
        <f t="shared" si="28"/>
        <v>通过</v>
      </c>
    </row>
    <row r="100" spans="1:24" s="1" customFormat="1" ht="57">
      <c r="A100" s="4" t="str">
        <f>"15"</f>
        <v>15</v>
      </c>
      <c r="B100" s="4" t="str">
        <f>"陈龙海"</f>
        <v>陈龙海</v>
      </c>
      <c r="C100" s="4" t="str">
        <f>"男        "</f>
        <v>男        </v>
      </c>
      <c r="D100" s="4" t="str">
        <f>"汉族"</f>
        <v>汉族</v>
      </c>
      <c r="E100" s="4" t="str">
        <f>"贵州普安"</f>
        <v>贵州普安</v>
      </c>
      <c r="F100" s="4" t="str">
        <f>"1990年10月"</f>
        <v>1990年10月</v>
      </c>
      <c r="G100" s="4" t="str">
        <f t="shared" si="35"/>
        <v>共青团员</v>
      </c>
      <c r="H100" s="4" t="str">
        <f>"522323199010018534"</f>
        <v>522323199010018534</v>
      </c>
      <c r="I100" s="4" t="str">
        <f>"兴义民族师范学院化学"</f>
        <v>兴义民族师范学院化学</v>
      </c>
      <c r="J100" s="4" t="str">
        <f t="shared" si="33"/>
        <v>化学</v>
      </c>
      <c r="K100" s="4" t="str">
        <f t="shared" si="34"/>
        <v>本科学士</v>
      </c>
      <c r="L100" s="4" t="str">
        <f>"15121590797"</f>
        <v>15121590797</v>
      </c>
      <c r="M100" s="4" t="str">
        <f t="shared" si="26"/>
        <v>隆林县</v>
      </c>
      <c r="N100" s="4" t="str">
        <f>"贵州省普安县高棉乡阳隆村上米淌组"</f>
        <v>贵州省普安县高棉乡阳隆村上米淌组</v>
      </c>
      <c r="O100" s="4" t="str">
        <f>"1042474502@qq.com"</f>
        <v>1042474502@qq.com</v>
      </c>
      <c r="P100" s="4">
        <f>""</f>
      </c>
      <c r="Q100" s="4" t="str">
        <f>"2016.07.01"</f>
        <v>2016.07.01</v>
      </c>
      <c r="R100" s="4" t="str">
        <f>"是"</f>
        <v>是</v>
      </c>
      <c r="S100" s="4" t="str">
        <f>"4:高级中学"</f>
        <v>4:高级中学</v>
      </c>
      <c r="T100" s="4" t="str">
        <f>"20165290041000234"</f>
        <v>20165290041000234</v>
      </c>
      <c r="U100" s="4" t="str">
        <f>"106661201605000229"</f>
        <v>106661201605000229</v>
      </c>
      <c r="V100" s="4" t="str">
        <f t="shared" si="27"/>
        <v>初中</v>
      </c>
      <c r="W100" s="4" t="str">
        <f t="shared" si="32"/>
        <v>211:化学</v>
      </c>
      <c r="X100" s="4" t="str">
        <f t="shared" si="28"/>
        <v>通过</v>
      </c>
    </row>
    <row r="101" spans="1:24" s="1" customFormat="1" ht="85.5">
      <c r="A101" s="4" t="str">
        <f>"16"</f>
        <v>16</v>
      </c>
      <c r="B101" s="4" t="str">
        <f>"莫衡玉"</f>
        <v>莫衡玉</v>
      </c>
      <c r="C101" s="4" t="str">
        <f>"女        "</f>
        <v>女        </v>
      </c>
      <c r="D101" s="4" t="str">
        <f>"汉族"</f>
        <v>汉族</v>
      </c>
      <c r="E101" s="4" t="str">
        <f>"广西乐业"</f>
        <v>广西乐业</v>
      </c>
      <c r="F101" s="4" t="str">
        <f>"1995年10月"</f>
        <v>1995年10月</v>
      </c>
      <c r="G101" s="4" t="str">
        <f t="shared" si="35"/>
        <v>共青团员</v>
      </c>
      <c r="H101" s="4" t="str">
        <f>"452629199510250643"</f>
        <v>452629199510250643</v>
      </c>
      <c r="I101" s="4" t="str">
        <f>"玉林师范学院化学"</f>
        <v>玉林师范学院化学</v>
      </c>
      <c r="J101" s="4" t="str">
        <f t="shared" si="33"/>
        <v>化学</v>
      </c>
      <c r="K101" s="4" t="str">
        <f t="shared" si="34"/>
        <v>本科学士</v>
      </c>
      <c r="L101" s="4" t="str">
        <f>"18878551633"</f>
        <v>18878551633</v>
      </c>
      <c r="M101" s="4" t="str">
        <f t="shared" si="26"/>
        <v>隆林县</v>
      </c>
      <c r="N101" s="4" t="str">
        <f>"广西省百色市乐业县甘田镇板洪村内麻屯024号"</f>
        <v>广西省百色市乐业县甘田镇板洪村内麻屯024号</v>
      </c>
      <c r="O101" s="4" t="str">
        <f>"2382632586@qq.com"</f>
        <v>2382632586@qq.com</v>
      </c>
      <c r="P101" s="4">
        <f>""</f>
      </c>
      <c r="Q101" s="4" t="str">
        <f>"2017.06.01"</f>
        <v>2017.06.01</v>
      </c>
      <c r="R101" s="4" t="str">
        <f>"是"</f>
        <v>是</v>
      </c>
      <c r="S101" s="4" t="str">
        <f>"4:高级中学"</f>
        <v>4:高级中学</v>
      </c>
      <c r="T101" s="4" t="str">
        <f>"20174550042000778"</f>
        <v>20174550042000778</v>
      </c>
      <c r="U101" s="4" t="str">
        <f>"106061201705000648"</f>
        <v>106061201705000648</v>
      </c>
      <c r="V101" s="4" t="str">
        <f t="shared" si="27"/>
        <v>初中</v>
      </c>
      <c r="W101" s="4" t="str">
        <f t="shared" si="32"/>
        <v>211:化学</v>
      </c>
      <c r="X101" s="4" t="str">
        <f t="shared" si="28"/>
        <v>通过</v>
      </c>
    </row>
    <row r="102" spans="1:24" s="1" customFormat="1" ht="71.25">
      <c r="A102" s="4" t="str">
        <f>"17"</f>
        <v>17</v>
      </c>
      <c r="B102" s="4" t="str">
        <f>"韦国咐"</f>
        <v>韦国咐</v>
      </c>
      <c r="C102" s="4" t="str">
        <f>"男        "</f>
        <v>男        </v>
      </c>
      <c r="D102" s="4" t="str">
        <f>"壮族"</f>
        <v>壮族</v>
      </c>
      <c r="E102" s="4" t="str">
        <f>"广西百色隆林县"</f>
        <v>广西百色隆林县</v>
      </c>
      <c r="F102" s="4" t="str">
        <f>"1991年04月"</f>
        <v>1991年04月</v>
      </c>
      <c r="G102" s="4" t="str">
        <f t="shared" si="35"/>
        <v>共青团员</v>
      </c>
      <c r="H102" s="4" t="str">
        <f>"452631199104280013"</f>
        <v>452631199104280013</v>
      </c>
      <c r="I102" s="4" t="str">
        <f>"广西民族师范学院化学"</f>
        <v>广西民族师范学院化学</v>
      </c>
      <c r="J102" s="4" t="str">
        <f t="shared" si="33"/>
        <v>化学</v>
      </c>
      <c r="K102" s="4" t="str">
        <f t="shared" si="34"/>
        <v>本科学士</v>
      </c>
      <c r="L102" s="4" t="str">
        <f>"18378176059"</f>
        <v>18378176059</v>
      </c>
      <c r="M102" s="4" t="str">
        <f t="shared" si="26"/>
        <v>隆林县</v>
      </c>
      <c r="N102" s="4" t="str">
        <f>"广西隆林各族自治县新州镇民德村田怀屯"</f>
        <v>广西隆林各族自治县新州镇民德村田怀屯</v>
      </c>
      <c r="O102" s="4" t="str">
        <f>"1205572344@qq.com"</f>
        <v>1205572344@qq.com</v>
      </c>
      <c r="P102" s="4">
        <f>""</f>
      </c>
      <c r="Q102" s="4" t="str">
        <f>"2017.07.01"</f>
        <v>2017.07.01</v>
      </c>
      <c r="R102" s="4" t="str">
        <f>"不是"</f>
        <v>不是</v>
      </c>
      <c r="S102" s="4" t="str">
        <f>"0:暂未取得"</f>
        <v>0:暂未取得</v>
      </c>
      <c r="T102" s="4" t="str">
        <f>"2017届毕业生填暂无"</f>
        <v>2017届毕业生填暂无</v>
      </c>
      <c r="U102" s="4" t="str">
        <f>"2017届毕业生填暂无"</f>
        <v>2017届毕业生填暂无</v>
      </c>
      <c r="V102" s="4" t="str">
        <f t="shared" si="27"/>
        <v>初中</v>
      </c>
      <c r="W102" s="4" t="str">
        <f t="shared" si="32"/>
        <v>211:化学</v>
      </c>
      <c r="X102" s="4" t="str">
        <f t="shared" si="28"/>
        <v>通过</v>
      </c>
    </row>
    <row r="103" spans="1:24" s="1" customFormat="1" ht="57">
      <c r="A103" s="4" t="str">
        <f>"18"</f>
        <v>18</v>
      </c>
      <c r="B103" s="4" t="str">
        <f>"李柔"</f>
        <v>李柔</v>
      </c>
      <c r="C103" s="4" t="str">
        <f>"女        "</f>
        <v>女        </v>
      </c>
      <c r="D103" s="4" t="str">
        <f>"壮族"</f>
        <v>壮族</v>
      </c>
      <c r="E103" s="4" t="str">
        <f>"广西百色田东县"</f>
        <v>广西百色田东县</v>
      </c>
      <c r="F103" s="4" t="str">
        <f>"1992年10月"</f>
        <v>1992年10月</v>
      </c>
      <c r="G103" s="4" t="str">
        <f t="shared" si="35"/>
        <v>共青团员</v>
      </c>
      <c r="H103" s="4" t="str">
        <f>"452623199210182724"</f>
        <v>452623199210182724</v>
      </c>
      <c r="I103" s="4" t="str">
        <f>"百色学院化学工程与工艺"</f>
        <v>百色学院化学工程与工艺</v>
      </c>
      <c r="J103" s="4" t="str">
        <f>"化学工程与工艺"</f>
        <v>化学工程与工艺</v>
      </c>
      <c r="K103" s="4" t="str">
        <f t="shared" si="34"/>
        <v>本科学士</v>
      </c>
      <c r="L103" s="4" t="str">
        <f>"18378613948"</f>
        <v>18378613948</v>
      </c>
      <c r="M103" s="4" t="str">
        <f t="shared" si="26"/>
        <v>隆林县</v>
      </c>
      <c r="N103" s="4" t="str">
        <f>"广西百色田东县印茶镇龙马村龙文屯"</f>
        <v>广西百色田东县印茶镇龙马村龙文屯</v>
      </c>
      <c r="O103" s="4" t="str">
        <f>"1398225779@qq.com"</f>
        <v>1398225779@qq.com</v>
      </c>
      <c r="P103" s="4">
        <f>""</f>
      </c>
      <c r="Q103" s="4" t="str">
        <f>"2017.06.01"</f>
        <v>2017.06.01</v>
      </c>
      <c r="R103" s="4" t="str">
        <f>"不是"</f>
        <v>不是</v>
      </c>
      <c r="S103" s="4" t="str">
        <f>"0:暂未取得"</f>
        <v>0:暂未取得</v>
      </c>
      <c r="T103" s="4" t="str">
        <f>"暂无"</f>
        <v>暂无</v>
      </c>
      <c r="U103" s="4" t="str">
        <f>"暂无"</f>
        <v>暂无</v>
      </c>
      <c r="V103" s="4" t="str">
        <f t="shared" si="27"/>
        <v>初中</v>
      </c>
      <c r="W103" s="4" t="str">
        <f t="shared" si="32"/>
        <v>211:化学</v>
      </c>
      <c r="X103" s="4" t="str">
        <f t="shared" si="28"/>
        <v>通过</v>
      </c>
    </row>
    <row r="104" spans="1:24" s="1" customFormat="1" ht="85.5">
      <c r="A104" s="4" t="str">
        <f>"19"</f>
        <v>19</v>
      </c>
      <c r="B104" s="4" t="str">
        <f>"张英"</f>
        <v>张英</v>
      </c>
      <c r="C104" s="4" t="str">
        <f>"女        "</f>
        <v>女        </v>
      </c>
      <c r="D104" s="4" t="str">
        <f>"彝族"</f>
        <v>彝族</v>
      </c>
      <c r="E104" s="4" t="str">
        <f>"云南富源"</f>
        <v>云南富源</v>
      </c>
      <c r="F104" s="4" t="str">
        <f>"1994年04月"</f>
        <v>1994年04月</v>
      </c>
      <c r="G104" s="4" t="str">
        <f t="shared" si="35"/>
        <v>共青团员</v>
      </c>
      <c r="H104" s="4" t="str">
        <f>"53032519940414232x"</f>
        <v>53032519940414232x</v>
      </c>
      <c r="I104" s="4" t="str">
        <f>"曲靖师范学院化学"</f>
        <v>曲靖师范学院化学</v>
      </c>
      <c r="J104" s="4" t="str">
        <f>"化学"</f>
        <v>化学</v>
      </c>
      <c r="K104" s="4" t="str">
        <f t="shared" si="34"/>
        <v>本科学士</v>
      </c>
      <c r="L104" s="4" t="str">
        <f>"18388306281"</f>
        <v>18388306281</v>
      </c>
      <c r="M104" s="4" t="str">
        <f t="shared" si="26"/>
        <v>隆林县</v>
      </c>
      <c r="N104" s="4" t="str">
        <f>"云南省曲靖市富源县古敢乡沙营村委会上笔冲村"</f>
        <v>云南省曲靖市富源县古敢乡沙营村委会上笔冲村</v>
      </c>
      <c r="O104" s="4" t="str">
        <f>"2568756676@qq.com"</f>
        <v>2568756676@qq.com</v>
      </c>
      <c r="P104" s="4" t="str">
        <f>"2016.10.01"</f>
        <v>2016.10.01</v>
      </c>
      <c r="Q104" s="4" t="str">
        <f>"2017.07.01"</f>
        <v>2017.07.01</v>
      </c>
      <c r="R104" s="4" t="str">
        <f aca="true" t="shared" si="36" ref="R104:R110">"是"</f>
        <v>是</v>
      </c>
      <c r="S104" s="4" t="str">
        <f>"4:高级中学"</f>
        <v>4:高级中学</v>
      </c>
      <c r="T104" s="4" t="str">
        <f>"无"</f>
        <v>无</v>
      </c>
      <c r="U104" s="4" t="str">
        <f>"无"</f>
        <v>无</v>
      </c>
      <c r="V104" s="4" t="str">
        <f t="shared" si="27"/>
        <v>初中</v>
      </c>
      <c r="W104" s="4" t="str">
        <f t="shared" si="32"/>
        <v>211:化学</v>
      </c>
      <c r="X104" s="4" t="str">
        <f t="shared" si="28"/>
        <v>通过</v>
      </c>
    </row>
    <row r="105" spans="1:24" s="1" customFormat="1" ht="42.75">
      <c r="A105" s="4" t="str">
        <f>"20"</f>
        <v>20</v>
      </c>
      <c r="B105" s="4" t="str">
        <f>"何品珍"</f>
        <v>何品珍</v>
      </c>
      <c r="C105" s="4" t="str">
        <f>"女        "</f>
        <v>女        </v>
      </c>
      <c r="D105" s="4" t="str">
        <f>"水族"</f>
        <v>水族</v>
      </c>
      <c r="E105" s="4" t="str">
        <f>"贵州省榕江县"</f>
        <v>贵州省榕江县</v>
      </c>
      <c r="F105" s="4" t="str">
        <f>"1993年10月"</f>
        <v>1993年10月</v>
      </c>
      <c r="G105" s="4" t="str">
        <f t="shared" si="35"/>
        <v>共青团员</v>
      </c>
      <c r="H105" s="4" t="str">
        <f>"522632199310183323"</f>
        <v>522632199310183323</v>
      </c>
      <c r="I105" s="4" t="str">
        <f>"贵阳学院化学"</f>
        <v>贵阳学院化学</v>
      </c>
      <c r="J105" s="4" t="str">
        <f>"化学"</f>
        <v>化学</v>
      </c>
      <c r="K105" s="4" t="str">
        <f t="shared" si="34"/>
        <v>本科学士</v>
      </c>
      <c r="L105" s="4" t="str">
        <f>"18798770849"</f>
        <v>18798770849</v>
      </c>
      <c r="M105" s="4" t="str">
        <f t="shared" si="26"/>
        <v>隆林县</v>
      </c>
      <c r="N105" s="4" t="str">
        <f>"贵州省榕江县仁里乡摆赖村"</f>
        <v>贵州省榕江县仁里乡摆赖村</v>
      </c>
      <c r="O105" s="4" t="str">
        <f>"1178478988@qq.com"</f>
        <v>1178478988@qq.com</v>
      </c>
      <c r="P105" s="4">
        <f>""</f>
      </c>
      <c r="Q105" s="4" t="str">
        <f>"2017.07.01"</f>
        <v>2017.07.01</v>
      </c>
      <c r="R105" s="4" t="str">
        <f t="shared" si="36"/>
        <v>是</v>
      </c>
      <c r="S105" s="4" t="str">
        <f>"4:高级中学"</f>
        <v>4:高级中学</v>
      </c>
      <c r="T105" s="4" t="str">
        <f>"暂无"</f>
        <v>暂无</v>
      </c>
      <c r="U105" s="4" t="str">
        <f>"暂无"</f>
        <v>暂无</v>
      </c>
      <c r="V105" s="4" t="str">
        <f t="shared" si="27"/>
        <v>初中</v>
      </c>
      <c r="W105" s="4" t="str">
        <f t="shared" si="32"/>
        <v>211:化学</v>
      </c>
      <c r="X105" s="4" t="str">
        <f t="shared" si="28"/>
        <v>通过</v>
      </c>
    </row>
    <row r="106" spans="1:24" s="1" customFormat="1" ht="71.25">
      <c r="A106" s="4" t="str">
        <f>"21"</f>
        <v>21</v>
      </c>
      <c r="B106" s="4" t="str">
        <f>"谭雨"</f>
        <v>谭雨</v>
      </c>
      <c r="C106" s="4" t="str">
        <f>"女        "</f>
        <v>女        </v>
      </c>
      <c r="D106" s="4" t="str">
        <f>"壮族"</f>
        <v>壮族</v>
      </c>
      <c r="E106" s="4" t="str">
        <f>"广西隆林"</f>
        <v>广西隆林</v>
      </c>
      <c r="F106" s="4" t="str">
        <f>"1993年03月"</f>
        <v>1993年03月</v>
      </c>
      <c r="G106" s="4" t="str">
        <f t="shared" si="35"/>
        <v>共青团员</v>
      </c>
      <c r="H106" s="4" t="str">
        <f>"45263119930301456X"</f>
        <v>45263119930301456X</v>
      </c>
      <c r="I106" s="4" t="str">
        <f>"广西民族师范学院化学"</f>
        <v>广西民族师范学院化学</v>
      </c>
      <c r="J106" s="4" t="str">
        <f>"化学"</f>
        <v>化学</v>
      </c>
      <c r="K106" s="4" t="str">
        <f t="shared" si="34"/>
        <v>本科学士</v>
      </c>
      <c r="L106" s="4" t="str">
        <f>"13263717071"</f>
        <v>13263717071</v>
      </c>
      <c r="M106" s="4" t="str">
        <f t="shared" si="26"/>
        <v>隆林县</v>
      </c>
      <c r="N106" s="4" t="str">
        <f>"广西隆林各族自治区岩茶乡弄金村弄金屯30号"</f>
        <v>广西隆林各族自治区岩茶乡弄金村弄金屯30号</v>
      </c>
      <c r="O106" s="4" t="str">
        <f>"2862467279@qq.com"</f>
        <v>2862467279@qq.com</v>
      </c>
      <c r="P106" s="4">
        <f>""</f>
      </c>
      <c r="Q106" s="4" t="str">
        <f>"2017.06.01"</f>
        <v>2017.06.01</v>
      </c>
      <c r="R106" s="4" t="str">
        <f t="shared" si="36"/>
        <v>是</v>
      </c>
      <c r="S106" s="4" t="str">
        <f>"4:高级中学"</f>
        <v>4:高级中学</v>
      </c>
      <c r="T106" s="4" t="str">
        <f>"2017届毕业生填暂无"</f>
        <v>2017届毕业生填暂无</v>
      </c>
      <c r="U106" s="4" t="str">
        <f>"2017届毕业生填暂无"</f>
        <v>2017届毕业生填暂无</v>
      </c>
      <c r="V106" s="4" t="str">
        <f t="shared" si="27"/>
        <v>初中</v>
      </c>
      <c r="W106" s="4" t="str">
        <f t="shared" si="32"/>
        <v>211:化学</v>
      </c>
      <c r="X106" s="4" t="str">
        <f t="shared" si="28"/>
        <v>通过</v>
      </c>
    </row>
    <row r="107" spans="1:24" s="1" customFormat="1" ht="57">
      <c r="A107" s="4" t="str">
        <f>"1"</f>
        <v>1</v>
      </c>
      <c r="B107" s="4" t="str">
        <f>"黄玉钱"</f>
        <v>黄玉钱</v>
      </c>
      <c r="C107" s="4" t="str">
        <f>"男        "</f>
        <v>男        </v>
      </c>
      <c r="D107" s="4" t="str">
        <f>"布依族"</f>
        <v>布依族</v>
      </c>
      <c r="E107" s="4" t="str">
        <f>"贵州省册亨县"</f>
        <v>贵州省册亨县</v>
      </c>
      <c r="F107" s="4" t="str">
        <f>"1993年12月"</f>
        <v>1993年12月</v>
      </c>
      <c r="G107" s="4" t="str">
        <f t="shared" si="35"/>
        <v>共青团员</v>
      </c>
      <c r="H107" s="4" t="str">
        <f>"522327199312271610"</f>
        <v>522327199312271610</v>
      </c>
      <c r="I107" s="4" t="str">
        <f>"贵州师范大学体育教育"</f>
        <v>贵州师范大学体育教育</v>
      </c>
      <c r="J107" s="4" t="str">
        <f>"体育教育"</f>
        <v>体育教育</v>
      </c>
      <c r="K107" s="4" t="str">
        <f t="shared" si="34"/>
        <v>本科学士</v>
      </c>
      <c r="L107" s="4" t="str">
        <f>"18798091105"</f>
        <v>18798091105</v>
      </c>
      <c r="M107" s="4" t="str">
        <f t="shared" si="26"/>
        <v>隆林县</v>
      </c>
      <c r="N107" s="4" t="str">
        <f>"贵州省册亨县丫他镇巴金村"</f>
        <v>贵州省册亨县丫他镇巴金村</v>
      </c>
      <c r="O107" s="4" t="str">
        <f>"1458213235@qq.com"</f>
        <v>1458213235@qq.com</v>
      </c>
      <c r="P107" s="4" t="str">
        <f>"2016.09.01"</f>
        <v>2016.09.01</v>
      </c>
      <c r="Q107" s="4" t="str">
        <f>"2016.07.01"</f>
        <v>2016.07.01</v>
      </c>
      <c r="R107" s="4" t="str">
        <f t="shared" si="36"/>
        <v>是</v>
      </c>
      <c r="S107" s="4" t="str">
        <f>"4:高级中学"</f>
        <v>4:高级中学</v>
      </c>
      <c r="T107" s="4" t="str">
        <f>"20165210041002010"</f>
        <v>20165210041002010</v>
      </c>
      <c r="U107" s="4" t="str">
        <f>"106631201605120085"</f>
        <v>106631201605120085</v>
      </c>
      <c r="V107" s="4" t="str">
        <f t="shared" si="27"/>
        <v>初中</v>
      </c>
      <c r="W107" s="4" t="str">
        <f aca="true" t="shared" si="37" ref="W107:W135">"212:体育"</f>
        <v>212:体育</v>
      </c>
      <c r="X107" s="4" t="str">
        <f t="shared" si="28"/>
        <v>通过</v>
      </c>
    </row>
    <row r="108" spans="1:24" s="1" customFormat="1" ht="71.25">
      <c r="A108" s="4" t="str">
        <f>"2"</f>
        <v>2</v>
      </c>
      <c r="B108" s="4" t="str">
        <f>"黄旭森"</f>
        <v>黄旭森</v>
      </c>
      <c r="C108" s="4" t="str">
        <f>"男        "</f>
        <v>男        </v>
      </c>
      <c r="D108" s="4" t="str">
        <f>"壮族"</f>
        <v>壮族</v>
      </c>
      <c r="E108" s="4" t="str">
        <f>"广西百色"</f>
        <v>广西百色</v>
      </c>
      <c r="F108" s="4" t="str">
        <f>"1994年12月"</f>
        <v>1994年12月</v>
      </c>
      <c r="G108" s="4" t="str">
        <f t="shared" si="35"/>
        <v>共青团员</v>
      </c>
      <c r="H108" s="4" t="str">
        <f>"452631199412162633"</f>
        <v>452631199412162633</v>
      </c>
      <c r="I108" s="4" t="str">
        <f>"玉林师范学院体育教育"</f>
        <v>玉林师范学院体育教育</v>
      </c>
      <c r="J108" s="4" t="str">
        <f>"体育教育"</f>
        <v>体育教育</v>
      </c>
      <c r="K108" s="4" t="str">
        <f t="shared" si="34"/>
        <v>本科学士</v>
      </c>
      <c r="L108" s="4" t="str">
        <f>"18878550237"</f>
        <v>18878550237</v>
      </c>
      <c r="M108" s="4" t="str">
        <f t="shared" si="26"/>
        <v>隆林县</v>
      </c>
      <c r="N108" s="4" t="str">
        <f>"广西隆林各族自治县革步乡红染村板江屯"</f>
        <v>广西隆林各族自治县革步乡红染村板江屯</v>
      </c>
      <c r="O108" s="4" t="str">
        <f>"532674394@qq.con"</f>
        <v>532674394@qq.con</v>
      </c>
      <c r="P108" s="4" t="str">
        <f>"2016.09.01"</f>
        <v>2016.09.01</v>
      </c>
      <c r="Q108" s="4" t="str">
        <f>"2017.06.01"</f>
        <v>2017.06.01</v>
      </c>
      <c r="R108" s="4" t="str">
        <f t="shared" si="36"/>
        <v>是</v>
      </c>
      <c r="S108" s="4" t="str">
        <f>"4:高级中学"</f>
        <v>4:高级中学</v>
      </c>
      <c r="T108" s="4" t="str">
        <f>"2017届毕业生填暂无"</f>
        <v>2017届毕业生填暂无</v>
      </c>
      <c r="U108" s="4" t="str">
        <f>"2017届毕业生填暂无"</f>
        <v>2017届毕业生填暂无</v>
      </c>
      <c r="V108" s="4" t="str">
        <f t="shared" si="27"/>
        <v>初中</v>
      </c>
      <c r="W108" s="4" t="str">
        <f t="shared" si="37"/>
        <v>212:体育</v>
      </c>
      <c r="X108" s="4" t="str">
        <f t="shared" si="28"/>
        <v>通过</v>
      </c>
    </row>
    <row r="109" spans="1:24" s="1" customFormat="1" ht="85.5">
      <c r="A109" s="4" t="str">
        <f>"3"</f>
        <v>3</v>
      </c>
      <c r="B109" s="4" t="str">
        <f>"田红雨"</f>
        <v>田红雨</v>
      </c>
      <c r="C109" s="4" t="str">
        <f>"女        "</f>
        <v>女        </v>
      </c>
      <c r="D109" s="4" t="str">
        <f>"壮族"</f>
        <v>壮族</v>
      </c>
      <c r="E109" s="4" t="str">
        <f>"广西百色"</f>
        <v>广西百色</v>
      </c>
      <c r="F109" s="4" t="str">
        <f>"1992年10月"</f>
        <v>1992年10月</v>
      </c>
      <c r="G109" s="4" t="str">
        <f t="shared" si="35"/>
        <v>共青团员</v>
      </c>
      <c r="H109" s="4" t="str">
        <f>"452631199210122924"</f>
        <v>452631199210122924</v>
      </c>
      <c r="I109" s="4" t="str">
        <f>"百色学院体育教育"</f>
        <v>百色学院体育教育</v>
      </c>
      <c r="J109" s="4" t="str">
        <f>"体育教育"</f>
        <v>体育教育</v>
      </c>
      <c r="K109" s="4" t="str">
        <f t="shared" si="34"/>
        <v>本科学士</v>
      </c>
      <c r="L109" s="4" t="str">
        <f>"15807862709"</f>
        <v>15807862709</v>
      </c>
      <c r="M109" s="4" t="str">
        <f t="shared" si="26"/>
        <v>隆林县</v>
      </c>
      <c r="N109" s="4" t="str">
        <f>"广西隆林各族自治县金钟山乡乌冲村冷水屯023号"</f>
        <v>广西隆林各族自治县金钟山乡乌冲村冷水屯023号</v>
      </c>
      <c r="O109" s="4" t="str">
        <f>"1448019655@qq.com"</f>
        <v>1448019655@qq.com</v>
      </c>
      <c r="P109" s="4" t="str">
        <f>"2016.09.01"</f>
        <v>2016.09.01</v>
      </c>
      <c r="Q109" s="4" t="str">
        <f>"2017.06.01"</f>
        <v>2017.06.01</v>
      </c>
      <c r="R109" s="4" t="str">
        <f t="shared" si="36"/>
        <v>是</v>
      </c>
      <c r="S109" s="4" t="str">
        <f>"0:暂未取得"</f>
        <v>0:暂未取得</v>
      </c>
      <c r="T109" s="4" t="str">
        <f>"暂无"</f>
        <v>暂无</v>
      </c>
      <c r="U109" s="4" t="str">
        <f>"暂无"</f>
        <v>暂无</v>
      </c>
      <c r="V109" s="4" t="str">
        <f t="shared" si="27"/>
        <v>初中</v>
      </c>
      <c r="W109" s="4" t="str">
        <f t="shared" si="37"/>
        <v>212:体育</v>
      </c>
      <c r="X109" s="4" t="str">
        <f t="shared" si="28"/>
        <v>通过</v>
      </c>
    </row>
    <row r="110" spans="1:24" s="1" customFormat="1" ht="85.5">
      <c r="A110" s="4" t="str">
        <f>"4"</f>
        <v>4</v>
      </c>
      <c r="B110" s="4" t="str">
        <f>"林臻"</f>
        <v>林臻</v>
      </c>
      <c r="C110" s="4" t="str">
        <f>"男        "</f>
        <v>男        </v>
      </c>
      <c r="D110" s="4" t="str">
        <f>"壮族"</f>
        <v>壮族</v>
      </c>
      <c r="E110" s="4" t="str">
        <f>"广西百色隆林县"</f>
        <v>广西百色隆林县</v>
      </c>
      <c r="F110" s="4" t="str">
        <f>"1991年07月"</f>
        <v>1991年07月</v>
      </c>
      <c r="G110" s="4" t="str">
        <f t="shared" si="35"/>
        <v>共青团员</v>
      </c>
      <c r="H110" s="4" t="str">
        <f>"452631199107070513"</f>
        <v>452631199107070513</v>
      </c>
      <c r="I110" s="4" t="str">
        <f>"百色学院体育教育"</f>
        <v>百色学院体育教育</v>
      </c>
      <c r="J110" s="4" t="str">
        <f>"体育教育"</f>
        <v>体育教育</v>
      </c>
      <c r="K110" s="4" t="str">
        <f t="shared" si="34"/>
        <v>本科学士</v>
      </c>
      <c r="L110" s="4" t="str">
        <f>"18377612753"</f>
        <v>18377612753</v>
      </c>
      <c r="M110" s="4" t="str">
        <f t="shared" si="26"/>
        <v>隆林县</v>
      </c>
      <c r="N110" s="4" t="str">
        <f>"广西百色市隆林各族自治县沙梨乡委敢村者三上社20号"</f>
        <v>广西百色市隆林各族自治县沙梨乡委敢村者三上社20号</v>
      </c>
      <c r="O110" s="4" t="str">
        <f>"1612437875@qq.com"</f>
        <v>1612437875@qq.com</v>
      </c>
      <c r="P110" s="4" t="str">
        <f>"2016.09.01"</f>
        <v>2016.09.01</v>
      </c>
      <c r="Q110" s="4" t="str">
        <f>"2016.07.01"</f>
        <v>2016.07.01</v>
      </c>
      <c r="R110" s="4" t="str">
        <f t="shared" si="36"/>
        <v>是</v>
      </c>
      <c r="S110" s="4" t="str">
        <f>"4:高级中学"</f>
        <v>4:高级中学</v>
      </c>
      <c r="T110" s="4" t="str">
        <f>"20164580041000268"</f>
        <v>20164580041000268</v>
      </c>
      <c r="U110" s="4" t="str">
        <f>"106091201605001056"</f>
        <v>106091201605001056</v>
      </c>
      <c r="V110" s="4" t="str">
        <f t="shared" si="27"/>
        <v>初中</v>
      </c>
      <c r="W110" s="4" t="str">
        <f t="shared" si="37"/>
        <v>212:体育</v>
      </c>
      <c r="X110" s="4" t="str">
        <f t="shared" si="28"/>
        <v>通过</v>
      </c>
    </row>
    <row r="111" spans="1:24" s="1" customFormat="1" ht="99.75">
      <c r="A111" s="4" t="str">
        <f>"5"</f>
        <v>5</v>
      </c>
      <c r="B111" s="4" t="str">
        <f>"黄彩金"</f>
        <v>黄彩金</v>
      </c>
      <c r="C111" s="4" t="str">
        <f>"女        "</f>
        <v>女        </v>
      </c>
      <c r="D111" s="4" t="str">
        <f>"壮族"</f>
        <v>壮族</v>
      </c>
      <c r="E111" s="4" t="str">
        <f>"云南文山"</f>
        <v>云南文山</v>
      </c>
      <c r="F111" s="4" t="str">
        <f>"1995年01月"</f>
        <v>1995年01月</v>
      </c>
      <c r="G111" s="4" t="str">
        <f t="shared" si="35"/>
        <v>共青团员</v>
      </c>
      <c r="H111" s="4" t="str">
        <f>"53262819950125032X"</f>
        <v>53262819950125032X</v>
      </c>
      <c r="I111" s="4" t="str">
        <f>"楚雄师范学院社会体育"</f>
        <v>楚雄师范学院社会体育</v>
      </c>
      <c r="J111" s="4" t="str">
        <f>"社会体育"</f>
        <v>社会体育</v>
      </c>
      <c r="K111" s="4" t="str">
        <f t="shared" si="34"/>
        <v>本科学士</v>
      </c>
      <c r="L111" s="4" t="str">
        <f>"15758540287"</f>
        <v>15758540287</v>
      </c>
      <c r="M111" s="4" t="str">
        <f t="shared" si="26"/>
        <v>隆林县</v>
      </c>
      <c r="N111" s="4" t="str">
        <f>"云南省文山壮族苗族自治州富宁县新华镇腊拱村委会百家"</f>
        <v>云南省文山壮族苗族自治州富宁县新华镇腊拱村委会百家</v>
      </c>
      <c r="O111" s="4" t="str">
        <f>"1439297158@qq.com"</f>
        <v>1439297158@qq.com</v>
      </c>
      <c r="P111" s="4">
        <f>""</f>
      </c>
      <c r="Q111" s="4" t="str">
        <f>"2017.07.01"</f>
        <v>2017.07.01</v>
      </c>
      <c r="R111" s="4" t="str">
        <f>"不是"</f>
        <v>不是</v>
      </c>
      <c r="S111" s="4" t="str">
        <f>"3:初级中学"</f>
        <v>3:初级中学</v>
      </c>
      <c r="T111" s="4" t="str">
        <f>"无"</f>
        <v>无</v>
      </c>
      <c r="U111" s="4" t="str">
        <f>"无"</f>
        <v>无</v>
      </c>
      <c r="V111" s="4" t="str">
        <f t="shared" si="27"/>
        <v>初中</v>
      </c>
      <c r="W111" s="4" t="str">
        <f t="shared" si="37"/>
        <v>212:体育</v>
      </c>
      <c r="X111" s="4" t="str">
        <f t="shared" si="28"/>
        <v>通过</v>
      </c>
    </row>
    <row r="112" spans="1:24" s="1" customFormat="1" ht="57">
      <c r="A112" s="4" t="str">
        <f>"6"</f>
        <v>6</v>
      </c>
      <c r="B112" s="4" t="str">
        <f>"杨忠迪"</f>
        <v>杨忠迪</v>
      </c>
      <c r="C112" s="4" t="str">
        <f>"男        "</f>
        <v>男        </v>
      </c>
      <c r="D112" s="4" t="str">
        <f>"汉族"</f>
        <v>汉族</v>
      </c>
      <c r="E112" s="4" t="str">
        <f>"贵州省册亨县"</f>
        <v>贵州省册亨县</v>
      </c>
      <c r="F112" s="4" t="str">
        <f>"1992年10月"</f>
        <v>1992年10月</v>
      </c>
      <c r="G112" s="4" t="str">
        <f t="shared" si="35"/>
        <v>共青团员</v>
      </c>
      <c r="H112" s="4" t="str">
        <f>"522327199210221233"</f>
        <v>522327199210221233</v>
      </c>
      <c r="I112" s="4" t="str">
        <f>"黔南民族师范学院体育教育"</f>
        <v>黔南民族师范学院体育教育</v>
      </c>
      <c r="J112" s="4" t="str">
        <f>"体育教育"</f>
        <v>体育教育</v>
      </c>
      <c r="K112" s="4" t="str">
        <f t="shared" si="34"/>
        <v>本科学士</v>
      </c>
      <c r="L112" s="4" t="str">
        <f>"18286402350"</f>
        <v>18286402350</v>
      </c>
      <c r="M112" s="4" t="str">
        <f t="shared" si="26"/>
        <v>隆林县</v>
      </c>
      <c r="N112" s="4" t="str">
        <f>"贵州省册亨县坡妹镇暗井村化稿林组"</f>
        <v>贵州省册亨县坡妹镇暗井村化稿林组</v>
      </c>
      <c r="O112" s="4" t="str">
        <f>"365633265@qq.com"</f>
        <v>365633265@qq.com</v>
      </c>
      <c r="P112" s="4" t="str">
        <f>"2016.03.01"</f>
        <v>2016.03.01</v>
      </c>
      <c r="Q112" s="4" t="str">
        <f>"2016.07.01"</f>
        <v>2016.07.01</v>
      </c>
      <c r="R112" s="4" t="str">
        <f>"是"</f>
        <v>是</v>
      </c>
      <c r="S112" s="4" t="str">
        <f>"4:高级中学"</f>
        <v>4:高级中学</v>
      </c>
      <c r="T112" s="4" t="str">
        <f>"20165270041001027"</f>
        <v>20165270041001027</v>
      </c>
      <c r="U112" s="4" t="str">
        <f>"106701201605001735"</f>
        <v>106701201605001735</v>
      </c>
      <c r="V112" s="4" t="str">
        <f t="shared" si="27"/>
        <v>初中</v>
      </c>
      <c r="W112" s="4" t="str">
        <f t="shared" si="37"/>
        <v>212:体育</v>
      </c>
      <c r="X112" s="4" t="str">
        <f t="shared" si="28"/>
        <v>通过</v>
      </c>
    </row>
    <row r="113" spans="1:24" s="1" customFormat="1" ht="57">
      <c r="A113" s="4" t="str">
        <f>"7"</f>
        <v>7</v>
      </c>
      <c r="B113" s="4" t="str">
        <f>"李玲"</f>
        <v>李玲</v>
      </c>
      <c r="C113" s="4" t="str">
        <f>"女        "</f>
        <v>女        </v>
      </c>
      <c r="D113" s="4" t="str">
        <f>"汉族"</f>
        <v>汉族</v>
      </c>
      <c r="E113" s="4" t="str">
        <f>"贵州省册亨县"</f>
        <v>贵州省册亨县</v>
      </c>
      <c r="F113" s="4" t="str">
        <f>"1992年10月"</f>
        <v>1992年10月</v>
      </c>
      <c r="G113" s="4" t="str">
        <f t="shared" si="35"/>
        <v>共青团员</v>
      </c>
      <c r="H113" s="4" t="str">
        <f>"522327199210160821"</f>
        <v>522327199210160821</v>
      </c>
      <c r="I113" s="4" t="str">
        <f>"贵州师范学院体育教育"</f>
        <v>贵州师范学院体育教育</v>
      </c>
      <c r="J113" s="4" t="str">
        <f>"体育教育"</f>
        <v>体育教育</v>
      </c>
      <c r="K113" s="4" t="str">
        <f t="shared" si="34"/>
        <v>本科学士</v>
      </c>
      <c r="L113" s="4" t="str">
        <f>"18275353749"</f>
        <v>18275353749</v>
      </c>
      <c r="M113" s="4" t="str">
        <f t="shared" si="26"/>
        <v>隆林县</v>
      </c>
      <c r="N113" s="4" t="str">
        <f>"贵州省册亨县冗度镇毛坪村毛坪组"</f>
        <v>贵州省册亨县冗度镇毛坪村毛坪组</v>
      </c>
      <c r="O113" s="4" t="str">
        <f>"1286100136@qq.com"</f>
        <v>1286100136@qq.com</v>
      </c>
      <c r="P113" s="4" t="str">
        <f>"2015.08.01"</f>
        <v>2015.08.01</v>
      </c>
      <c r="Q113" s="4" t="str">
        <f>"2016.07.01"</f>
        <v>2016.07.01</v>
      </c>
      <c r="R113" s="4" t="str">
        <f>"是"</f>
        <v>是</v>
      </c>
      <c r="S113" s="4" t="str">
        <f>"4:高级中学"</f>
        <v>4:高级中学</v>
      </c>
      <c r="T113" s="4" t="str">
        <f>"20165210042004932"</f>
        <v>20165210042004932</v>
      </c>
      <c r="U113" s="4" t="str">
        <f>"142231201605002209"</f>
        <v>142231201605002209</v>
      </c>
      <c r="V113" s="4" t="str">
        <f t="shared" si="27"/>
        <v>初中</v>
      </c>
      <c r="W113" s="4" t="str">
        <f t="shared" si="37"/>
        <v>212:体育</v>
      </c>
      <c r="X113" s="4" t="str">
        <f t="shared" si="28"/>
        <v>通过</v>
      </c>
    </row>
    <row r="114" spans="1:24" s="1" customFormat="1" ht="85.5">
      <c r="A114" s="4" t="str">
        <f>"8"</f>
        <v>8</v>
      </c>
      <c r="B114" s="4" t="str">
        <f>"张仕成"</f>
        <v>张仕成</v>
      </c>
      <c r="C114" s="4" t="str">
        <f>"男        "</f>
        <v>男        </v>
      </c>
      <c r="D114" s="4" t="str">
        <f>"汉族"</f>
        <v>汉族</v>
      </c>
      <c r="E114" s="4" t="str">
        <f>"广西百色隆林县"</f>
        <v>广西百色隆林县</v>
      </c>
      <c r="F114" s="4" t="str">
        <f>"1994年10月"</f>
        <v>1994年10月</v>
      </c>
      <c r="G114" s="4" t="str">
        <f>"群众"</f>
        <v>群众</v>
      </c>
      <c r="H114" s="4" t="str">
        <f>"452631199410080351"</f>
        <v>452631199410080351</v>
      </c>
      <c r="I114" s="4" t="str">
        <f>"广西民族大学社会体育指导与管理"</f>
        <v>广西民族大学社会体育指导与管理</v>
      </c>
      <c r="J114" s="4" t="str">
        <f>"社会体育指导与管理"</f>
        <v>社会体育指导与管理</v>
      </c>
      <c r="K114" s="4" t="str">
        <f t="shared" si="34"/>
        <v>本科学士</v>
      </c>
      <c r="L114" s="4" t="str">
        <f>"13417568505"</f>
        <v>13417568505</v>
      </c>
      <c r="M114" s="4" t="str">
        <f t="shared" si="26"/>
        <v>隆林县</v>
      </c>
      <c r="N114" s="4" t="str">
        <f>"广西隆林各族自治县桠杈镇忠义村陈家队屯008号"</f>
        <v>广西隆林各族自治县桠杈镇忠义村陈家队屯008号</v>
      </c>
      <c r="O114" s="4" t="str">
        <f>"243662246@qq.com"</f>
        <v>243662246@qq.com</v>
      </c>
      <c r="P114" s="4" t="str">
        <f>"2013.09.01"</f>
        <v>2013.09.01</v>
      </c>
      <c r="Q114" s="4" t="str">
        <f>"2017.06.01"</f>
        <v>2017.06.01</v>
      </c>
      <c r="R114" s="4" t="str">
        <f>"不是"</f>
        <v>不是</v>
      </c>
      <c r="S114" s="4" t="str">
        <f>"0:暂未取得"</f>
        <v>0:暂未取得</v>
      </c>
      <c r="T114" s="4" t="str">
        <f aca="true" t="shared" si="38" ref="T114:U116">"2017届毕业生填暂无"</f>
        <v>2017届毕业生填暂无</v>
      </c>
      <c r="U114" s="4" t="str">
        <f t="shared" si="38"/>
        <v>2017届毕业生填暂无</v>
      </c>
      <c r="V114" s="4" t="str">
        <f t="shared" si="27"/>
        <v>初中</v>
      </c>
      <c r="W114" s="4" t="str">
        <f t="shared" si="37"/>
        <v>212:体育</v>
      </c>
      <c r="X114" s="4" t="str">
        <f t="shared" si="28"/>
        <v>通过</v>
      </c>
    </row>
    <row r="115" spans="1:24" s="1" customFormat="1" ht="85.5">
      <c r="A115" s="4" t="str">
        <f>"9"</f>
        <v>9</v>
      </c>
      <c r="B115" s="4" t="str">
        <f>"陈志银"</f>
        <v>陈志银</v>
      </c>
      <c r="C115" s="4" t="str">
        <f>"男        "</f>
        <v>男        </v>
      </c>
      <c r="D115" s="4" t="str">
        <f>"苗族"</f>
        <v>苗族</v>
      </c>
      <c r="E115" s="4" t="str">
        <f>"广西省"</f>
        <v>广西省</v>
      </c>
      <c r="F115" s="4" t="str">
        <f>"1992年09月"</f>
        <v>1992年09月</v>
      </c>
      <c r="G115" s="4" t="str">
        <f>"中共党员"</f>
        <v>中共党员</v>
      </c>
      <c r="H115" s="4" t="str">
        <f>"452631199209104171"</f>
        <v>452631199209104171</v>
      </c>
      <c r="I115" s="4" t="str">
        <f>"百色学院体育教育"</f>
        <v>百色学院体育教育</v>
      </c>
      <c r="J115" s="4" t="str">
        <f>"体育教育"</f>
        <v>体育教育</v>
      </c>
      <c r="K115" s="4" t="str">
        <f t="shared" si="34"/>
        <v>本科学士</v>
      </c>
      <c r="L115" s="4" t="str">
        <f>"18377683291"</f>
        <v>18377683291</v>
      </c>
      <c r="M115" s="4" t="str">
        <f t="shared" si="26"/>
        <v>隆林县</v>
      </c>
      <c r="N115" s="4" t="str">
        <f>"广西隆林各族自治县克长乡林场村那板屯018号"</f>
        <v>广西隆林各族自治县克长乡林场村那板屯018号</v>
      </c>
      <c r="O115" s="4" t="str">
        <f>"1424969210@qq.com"</f>
        <v>1424969210@qq.com</v>
      </c>
      <c r="P115" s="4" t="str">
        <f>"2017.05.01"</f>
        <v>2017.05.01</v>
      </c>
      <c r="Q115" s="4" t="str">
        <f>"2017.06.01"</f>
        <v>2017.06.01</v>
      </c>
      <c r="R115" s="4" t="str">
        <f>"是"</f>
        <v>是</v>
      </c>
      <c r="S115" s="4" t="str">
        <f>"0:暂未取得"</f>
        <v>0:暂未取得</v>
      </c>
      <c r="T115" s="4" t="str">
        <f t="shared" si="38"/>
        <v>2017届毕业生填暂无</v>
      </c>
      <c r="U115" s="4" t="str">
        <f t="shared" si="38"/>
        <v>2017届毕业生填暂无</v>
      </c>
      <c r="V115" s="4" t="str">
        <f t="shared" si="27"/>
        <v>初中</v>
      </c>
      <c r="W115" s="4" t="str">
        <f t="shared" si="37"/>
        <v>212:体育</v>
      </c>
      <c r="X115" s="4" t="str">
        <f t="shared" si="28"/>
        <v>通过</v>
      </c>
    </row>
    <row r="116" spans="1:24" s="1" customFormat="1" ht="99.75">
      <c r="A116" s="4" t="str">
        <f>"10"</f>
        <v>10</v>
      </c>
      <c r="B116" s="4" t="str">
        <f>"王树飞"</f>
        <v>王树飞</v>
      </c>
      <c r="C116" s="4" t="str">
        <f>"男        "</f>
        <v>男        </v>
      </c>
      <c r="D116" s="4" t="str">
        <f>"汉族"</f>
        <v>汉族</v>
      </c>
      <c r="E116" s="4" t="str">
        <f>"中国"</f>
        <v>中国</v>
      </c>
      <c r="F116" s="4" t="str">
        <f>"1994年08月"</f>
        <v>1994年08月</v>
      </c>
      <c r="G116" s="4" t="str">
        <f>"共青团员"</f>
        <v>共青团员</v>
      </c>
      <c r="H116" s="4" t="str">
        <f>"532329199408100511"</f>
        <v>532329199408100511</v>
      </c>
      <c r="I116" s="4" t="str">
        <f>"玉溪师范学院社会体育指导与管理"</f>
        <v>玉溪师范学院社会体育指导与管理</v>
      </c>
      <c r="J116" s="4" t="str">
        <f>"社会体育指导与管理"</f>
        <v>社会体育指导与管理</v>
      </c>
      <c r="K116" s="4" t="str">
        <f t="shared" si="34"/>
        <v>本科学士</v>
      </c>
      <c r="L116" s="4" t="str">
        <f>"15758011078"</f>
        <v>15758011078</v>
      </c>
      <c r="M116" s="4" t="str">
        <f t="shared" si="26"/>
        <v>隆林县</v>
      </c>
      <c r="N116" s="4" t="str">
        <f>"云南省楚雄彝族自治州武定县狮山镇乐美村委会旺脉龙村"</f>
        <v>云南省楚雄彝族自治州武定县狮山镇乐美村委会旺脉龙村</v>
      </c>
      <c r="O116" s="4" t="str">
        <f>"1164515652@qq.com"</f>
        <v>1164515652@qq.com</v>
      </c>
      <c r="P116" s="4">
        <f>""</f>
      </c>
      <c r="Q116" s="4" t="str">
        <f>"2017.07.01"</f>
        <v>2017.07.01</v>
      </c>
      <c r="R116" s="4" t="str">
        <f>"不是"</f>
        <v>不是</v>
      </c>
      <c r="S116" s="4" t="str">
        <f>"0:暂未取得"</f>
        <v>0:暂未取得</v>
      </c>
      <c r="T116" s="4" t="str">
        <f t="shared" si="38"/>
        <v>2017届毕业生填暂无</v>
      </c>
      <c r="U116" s="4" t="str">
        <f t="shared" si="38"/>
        <v>2017届毕业生填暂无</v>
      </c>
      <c r="V116" s="4" t="str">
        <f t="shared" si="27"/>
        <v>初中</v>
      </c>
      <c r="W116" s="4" t="str">
        <f t="shared" si="37"/>
        <v>212:体育</v>
      </c>
      <c r="X116" s="4" t="str">
        <f t="shared" si="28"/>
        <v>通过</v>
      </c>
    </row>
    <row r="117" spans="1:24" s="1" customFormat="1" ht="85.5">
      <c r="A117" s="4" t="str">
        <f>"11"</f>
        <v>11</v>
      </c>
      <c r="B117" s="4" t="str">
        <f>"黄美春"</f>
        <v>黄美春</v>
      </c>
      <c r="C117" s="4" t="str">
        <f>"女        "</f>
        <v>女        </v>
      </c>
      <c r="D117" s="4" t="str">
        <f>"壮族"</f>
        <v>壮族</v>
      </c>
      <c r="E117" s="4" t="str">
        <f>"云南文山"</f>
        <v>云南文山</v>
      </c>
      <c r="F117" s="4" t="str">
        <f>"1994年05月"</f>
        <v>1994年05月</v>
      </c>
      <c r="G117" s="4" t="str">
        <f>"共青团员"</f>
        <v>共青团员</v>
      </c>
      <c r="H117" s="4" t="str">
        <f>"532628199405041528"</f>
        <v>532628199405041528</v>
      </c>
      <c r="I117" s="4" t="str">
        <f>"文山学院健美操"</f>
        <v>文山学院健美操</v>
      </c>
      <c r="J117" s="4" t="str">
        <f>"健美操"</f>
        <v>健美操</v>
      </c>
      <c r="K117" s="4" t="str">
        <f t="shared" si="34"/>
        <v>本科学士</v>
      </c>
      <c r="L117" s="4" t="str">
        <f>"13618760693"</f>
        <v>13618760693</v>
      </c>
      <c r="M117" s="4" t="str">
        <f t="shared" si="26"/>
        <v>隆林县</v>
      </c>
      <c r="N117" s="4" t="str">
        <f>"云南省文山州富宁县那能乡六温村民委那勒小组"</f>
        <v>云南省文山州富宁县那能乡六温村民委那勒小组</v>
      </c>
      <c r="O117" s="4" t="str">
        <f>"943390082@qq.com"</f>
        <v>943390082@qq.com</v>
      </c>
      <c r="P117" s="4">
        <f>""</f>
      </c>
      <c r="Q117" s="4" t="str">
        <f>"2016.07.01"</f>
        <v>2016.07.01</v>
      </c>
      <c r="R117" s="4" t="str">
        <f>"是"</f>
        <v>是</v>
      </c>
      <c r="S117" s="4" t="str">
        <f>"4:高级中学"</f>
        <v>4:高级中学</v>
      </c>
      <c r="T117" s="4" t="str">
        <f>"20165307342000296"</f>
        <v>20165307342000296</v>
      </c>
      <c r="U117" s="4" t="str">
        <f>"115561201605000781"</f>
        <v>115561201605000781</v>
      </c>
      <c r="V117" s="4" t="str">
        <f t="shared" si="27"/>
        <v>初中</v>
      </c>
      <c r="W117" s="4" t="str">
        <f t="shared" si="37"/>
        <v>212:体育</v>
      </c>
      <c r="X117" s="4" t="str">
        <f t="shared" si="28"/>
        <v>通过</v>
      </c>
    </row>
    <row r="118" spans="1:24" s="1" customFormat="1" ht="71.25">
      <c r="A118" s="4" t="str">
        <f>"12"</f>
        <v>12</v>
      </c>
      <c r="B118" s="4" t="str">
        <f>"李建"</f>
        <v>李建</v>
      </c>
      <c r="C118" s="4" t="str">
        <f>"男        "</f>
        <v>男        </v>
      </c>
      <c r="D118" s="4" t="str">
        <f>"汉族"</f>
        <v>汉族</v>
      </c>
      <c r="E118" s="4" t="str">
        <f>"广西隆林各族自治县"</f>
        <v>广西隆林各族自治县</v>
      </c>
      <c r="F118" s="4" t="str">
        <f>"1995年10月"</f>
        <v>1995年10月</v>
      </c>
      <c r="G118" s="4" t="str">
        <f>"共青团员"</f>
        <v>共青团员</v>
      </c>
      <c r="H118" s="4" t="str">
        <f>"452631199510291754"</f>
        <v>452631199510291754</v>
      </c>
      <c r="I118" s="4" t="str">
        <f>"广西民族大学相思湖学院社会体育指导与管理"</f>
        <v>广西民族大学相思湖学院社会体育指导与管理</v>
      </c>
      <c r="J118" s="4" t="str">
        <f>"社会体育指导与管理"</f>
        <v>社会体育指导与管理</v>
      </c>
      <c r="K118" s="4" t="str">
        <f t="shared" si="34"/>
        <v>本科学士</v>
      </c>
      <c r="L118" s="4" t="str">
        <f>"15677160114"</f>
        <v>15677160114</v>
      </c>
      <c r="M118" s="4" t="str">
        <f t="shared" si="26"/>
        <v>隆林县</v>
      </c>
      <c r="N118" s="4" t="str">
        <f>"广西隆林各族自治县者保乡巴内村龙来地屯"</f>
        <v>广西隆林各族自治县者保乡巴内村龙来地屯</v>
      </c>
      <c r="O118" s="4" t="str">
        <f>"1134881623@qq.com"</f>
        <v>1134881623@qq.com</v>
      </c>
      <c r="P118" s="4">
        <f>""</f>
      </c>
      <c r="Q118" s="4" t="str">
        <f>"2017.07.01"</f>
        <v>2017.07.01</v>
      </c>
      <c r="R118" s="4" t="str">
        <f>"不是"</f>
        <v>不是</v>
      </c>
      <c r="S118" s="4" t="str">
        <f>"3:初级中学"</f>
        <v>3:初级中学</v>
      </c>
      <c r="T118" s="4" t="str">
        <f>"暂无"</f>
        <v>暂无</v>
      </c>
      <c r="U118" s="4" t="str">
        <f>"暂无"</f>
        <v>暂无</v>
      </c>
      <c r="V118" s="4" t="str">
        <f t="shared" si="27"/>
        <v>初中</v>
      </c>
      <c r="W118" s="4" t="str">
        <f t="shared" si="37"/>
        <v>212:体育</v>
      </c>
      <c r="X118" s="4" t="str">
        <f t="shared" si="28"/>
        <v>通过</v>
      </c>
    </row>
    <row r="119" spans="1:24" s="1" customFormat="1" ht="71.25">
      <c r="A119" s="4" t="str">
        <f>"13"</f>
        <v>13</v>
      </c>
      <c r="B119" s="4" t="str">
        <f>"农海艳"</f>
        <v>农海艳</v>
      </c>
      <c r="C119" s="4" t="str">
        <f>"女        "</f>
        <v>女        </v>
      </c>
      <c r="D119" s="4" t="str">
        <f>"壮族"</f>
        <v>壮族</v>
      </c>
      <c r="E119" s="4" t="str">
        <f>"百色隆林县"</f>
        <v>百色隆林县</v>
      </c>
      <c r="F119" s="4" t="str">
        <f>"1992年02月"</f>
        <v>1992年02月</v>
      </c>
      <c r="G119" s="4" t="str">
        <f>"中共党员"</f>
        <v>中共党员</v>
      </c>
      <c r="H119" s="4" t="str">
        <f>"45263119920211414X"</f>
        <v>45263119920211414X</v>
      </c>
      <c r="I119" s="4" t="str">
        <f>"广西师范学院体育教育"</f>
        <v>广西师范学院体育教育</v>
      </c>
      <c r="J119" s="4" t="str">
        <f aca="true" t="shared" si="39" ref="J119:J126">"体育教育"</f>
        <v>体育教育</v>
      </c>
      <c r="K119" s="4" t="str">
        <f t="shared" si="34"/>
        <v>本科学士</v>
      </c>
      <c r="L119" s="4" t="str">
        <f>"15878180047"</f>
        <v>15878180047</v>
      </c>
      <c r="M119" s="4" t="str">
        <f t="shared" si="26"/>
        <v>隆林县</v>
      </c>
      <c r="N119" s="4" t="str">
        <f>"广西隆林各族自治县克长乡梅达村卡达一队"</f>
        <v>广西隆林各族自治县克长乡梅达村卡达一队</v>
      </c>
      <c r="O119" s="4" t="str">
        <f>"1035810596@qq.com"</f>
        <v>1035810596@qq.com</v>
      </c>
      <c r="P119" s="4" t="str">
        <f>"2015.04.01"</f>
        <v>2015.04.01</v>
      </c>
      <c r="Q119" s="4" t="str">
        <f>"2015.06.01"</f>
        <v>2015.06.01</v>
      </c>
      <c r="R119" s="4" t="str">
        <f aca="true" t="shared" si="40" ref="R119:R130">"是"</f>
        <v>是</v>
      </c>
      <c r="S119" s="4" t="str">
        <f>"4:高级中学"</f>
        <v>4:高级中学</v>
      </c>
      <c r="T119" s="4" t="str">
        <f>"20154501042002461"</f>
        <v>20154501042002461</v>
      </c>
      <c r="U119" s="4" t="str">
        <f>"106031201505002339"</f>
        <v>106031201505002339</v>
      </c>
      <c r="V119" s="4" t="str">
        <f t="shared" si="27"/>
        <v>初中</v>
      </c>
      <c r="W119" s="4" t="str">
        <f t="shared" si="37"/>
        <v>212:体育</v>
      </c>
      <c r="X119" s="4" t="str">
        <f t="shared" si="28"/>
        <v>通过</v>
      </c>
    </row>
    <row r="120" spans="1:24" s="1" customFormat="1" ht="71.25">
      <c r="A120" s="4" t="str">
        <f>"14"</f>
        <v>14</v>
      </c>
      <c r="B120" s="4" t="str">
        <f>"李玉霞"</f>
        <v>李玉霞</v>
      </c>
      <c r="C120" s="4" t="str">
        <f>"女        "</f>
        <v>女        </v>
      </c>
      <c r="D120" s="4" t="str">
        <f>"壮族"</f>
        <v>壮族</v>
      </c>
      <c r="E120" s="4" t="str">
        <f>"广西百色"</f>
        <v>广西百色</v>
      </c>
      <c r="F120" s="4" t="str">
        <f>"1993年10月"</f>
        <v>1993年10月</v>
      </c>
      <c r="G120" s="4" t="str">
        <f>"共青团员"</f>
        <v>共青团员</v>
      </c>
      <c r="H120" s="4" t="str">
        <f>"452625199310031184"</f>
        <v>452625199310031184</v>
      </c>
      <c r="I120" s="4" t="str">
        <f>"广西民族大学体育教育"</f>
        <v>广西民族大学体育教育</v>
      </c>
      <c r="J120" s="4" t="str">
        <f t="shared" si="39"/>
        <v>体育教育</v>
      </c>
      <c r="K120" s="4" t="str">
        <f t="shared" si="34"/>
        <v>本科学士</v>
      </c>
      <c r="L120" s="4" t="str">
        <f>"18177602690"</f>
        <v>18177602690</v>
      </c>
      <c r="M120" s="4" t="str">
        <f t="shared" si="26"/>
        <v>隆林县</v>
      </c>
      <c r="N120" s="4" t="str">
        <f>"广西百色市德保县那甲乡地稼村地稼屯"</f>
        <v>广西百色市德保县那甲乡地稼村地稼屯</v>
      </c>
      <c r="O120" s="4" t="str">
        <f>"497781534@QQ.COM"</f>
        <v>497781534@QQ.COM</v>
      </c>
      <c r="P120" s="4">
        <f>""</f>
      </c>
      <c r="Q120" s="4" t="str">
        <f>"2017.06.01"</f>
        <v>2017.06.01</v>
      </c>
      <c r="R120" s="4" t="str">
        <f t="shared" si="40"/>
        <v>是</v>
      </c>
      <c r="S120" s="4" t="str">
        <f>"0:暂未取得"</f>
        <v>0:暂未取得</v>
      </c>
      <c r="T120" s="4" t="str">
        <f>"2017届毕业生填暂无"</f>
        <v>2017届毕业生填暂无</v>
      </c>
      <c r="U120" s="4" t="str">
        <f>"2017届毕业生填暂无"</f>
        <v>2017届毕业生填暂无</v>
      </c>
      <c r="V120" s="4" t="str">
        <f t="shared" si="27"/>
        <v>初中</v>
      </c>
      <c r="W120" s="4" t="str">
        <f t="shared" si="37"/>
        <v>212:体育</v>
      </c>
      <c r="X120" s="4" t="str">
        <f t="shared" si="28"/>
        <v>通过</v>
      </c>
    </row>
    <row r="121" spans="1:24" s="1" customFormat="1" ht="71.25">
      <c r="A121" s="4" t="str">
        <f>"15"</f>
        <v>15</v>
      </c>
      <c r="B121" s="4" t="str">
        <f>"杨正仙"</f>
        <v>杨正仙</v>
      </c>
      <c r="C121" s="4" t="str">
        <f>"女        "</f>
        <v>女        </v>
      </c>
      <c r="D121" s="4" t="str">
        <f>"汉族"</f>
        <v>汉族</v>
      </c>
      <c r="E121" s="4" t="str">
        <f>"中国贵州"</f>
        <v>中国贵州</v>
      </c>
      <c r="F121" s="4" t="str">
        <f>"1991年08月"</f>
        <v>1991年08月</v>
      </c>
      <c r="G121" s="4" t="str">
        <f>"中共党员"</f>
        <v>中共党员</v>
      </c>
      <c r="H121" s="4" t="str">
        <f>"522328199108245323"</f>
        <v>522328199108245323</v>
      </c>
      <c r="I121" s="4" t="str">
        <f>"凯里学院体育教育"</f>
        <v>凯里学院体育教育</v>
      </c>
      <c r="J121" s="4" t="str">
        <f t="shared" si="39"/>
        <v>体育教育</v>
      </c>
      <c r="K121" s="4" t="str">
        <f t="shared" si="34"/>
        <v>本科学士</v>
      </c>
      <c r="L121" s="4" t="str">
        <f>"15085204773"</f>
        <v>15085204773</v>
      </c>
      <c r="M121" s="4" t="str">
        <f t="shared" si="26"/>
        <v>隆林县</v>
      </c>
      <c r="N121" s="4" t="str">
        <f>"贵州省安龙县平乐乡朗元村肖家洞组14号"</f>
        <v>贵州省安龙县平乐乡朗元村肖家洞组14号</v>
      </c>
      <c r="O121" s="4" t="str">
        <f>"785413626@qq.com"</f>
        <v>785413626@qq.com</v>
      </c>
      <c r="P121" s="4">
        <f>""</f>
      </c>
      <c r="Q121" s="4" t="str">
        <f>"2015.07.01"</f>
        <v>2015.07.01</v>
      </c>
      <c r="R121" s="4" t="str">
        <f t="shared" si="40"/>
        <v>是</v>
      </c>
      <c r="S121" s="4" t="str">
        <f aca="true" t="shared" si="41" ref="S121:S126">"4:高级中学"</f>
        <v>4:高级中学</v>
      </c>
      <c r="T121" s="4" t="str">
        <f>"20155280042000716"</f>
        <v>20155280042000716</v>
      </c>
      <c r="U121" s="4" t="str">
        <f>"106691201505001423"</f>
        <v>106691201505001423</v>
      </c>
      <c r="V121" s="4" t="str">
        <f t="shared" si="27"/>
        <v>初中</v>
      </c>
      <c r="W121" s="4" t="str">
        <f t="shared" si="37"/>
        <v>212:体育</v>
      </c>
      <c r="X121" s="4" t="str">
        <f t="shared" si="28"/>
        <v>通过</v>
      </c>
    </row>
    <row r="122" spans="1:24" s="1" customFormat="1" ht="99.75">
      <c r="A122" s="4" t="str">
        <f>"16"</f>
        <v>16</v>
      </c>
      <c r="B122" s="4" t="str">
        <f>"杨光海"</f>
        <v>杨光海</v>
      </c>
      <c r="C122" s="4" t="str">
        <f>"男        "</f>
        <v>男        </v>
      </c>
      <c r="D122" s="4" t="str">
        <f>"苗族"</f>
        <v>苗族</v>
      </c>
      <c r="E122" s="4" t="str">
        <f>"云南广南"</f>
        <v>云南广南</v>
      </c>
      <c r="F122" s="4" t="str">
        <f>"1993年12月"</f>
        <v>1993年12月</v>
      </c>
      <c r="G122" s="4" t="str">
        <f aca="true" t="shared" si="42" ref="G122:G129">"共青团员"</f>
        <v>共青团员</v>
      </c>
      <c r="H122" s="4" t="str">
        <f>"532627199312251618"</f>
        <v>532627199312251618</v>
      </c>
      <c r="I122" s="4" t="str">
        <f>"文山学院体育教育"</f>
        <v>文山学院体育教育</v>
      </c>
      <c r="J122" s="4" t="str">
        <f t="shared" si="39"/>
        <v>体育教育</v>
      </c>
      <c r="K122" s="4" t="str">
        <f t="shared" si="34"/>
        <v>本科学士</v>
      </c>
      <c r="L122" s="4" t="str">
        <f>"15758766126"</f>
        <v>15758766126</v>
      </c>
      <c r="M122" s="4" t="str">
        <f t="shared" si="26"/>
        <v>隆林县</v>
      </c>
      <c r="N122" s="4" t="str">
        <f>"云南省文山壮族苗族自治州广南县八宝镇杨柳树村委会木"</f>
        <v>云南省文山壮族苗族自治州广南县八宝镇杨柳树村委会木</v>
      </c>
      <c r="O122" s="4" t="str">
        <f>"986781428@qq.com"</f>
        <v>986781428@qq.com</v>
      </c>
      <c r="P122" s="4">
        <f>""</f>
      </c>
      <c r="Q122" s="4" t="str">
        <f>"2017.07.01"</f>
        <v>2017.07.01</v>
      </c>
      <c r="R122" s="4" t="str">
        <f t="shared" si="40"/>
        <v>是</v>
      </c>
      <c r="S122" s="4" t="str">
        <f t="shared" si="41"/>
        <v>4:高级中学</v>
      </c>
      <c r="T122" s="4" t="str">
        <f>"2017届毕业生填暂无"</f>
        <v>2017届毕业生填暂无</v>
      </c>
      <c r="U122" s="4" t="str">
        <f>"2017届毕业生填暂无"</f>
        <v>2017届毕业生填暂无</v>
      </c>
      <c r="V122" s="4" t="str">
        <f t="shared" si="27"/>
        <v>初中</v>
      </c>
      <c r="W122" s="4" t="str">
        <f t="shared" si="37"/>
        <v>212:体育</v>
      </c>
      <c r="X122" s="4" t="str">
        <f t="shared" si="28"/>
        <v>通过</v>
      </c>
    </row>
    <row r="123" spans="1:24" s="1" customFormat="1" ht="85.5">
      <c r="A123" s="4" t="str">
        <f>"17"</f>
        <v>17</v>
      </c>
      <c r="B123" s="4" t="str">
        <f>"贺昌发"</f>
        <v>贺昌发</v>
      </c>
      <c r="C123" s="4" t="str">
        <f>"男        "</f>
        <v>男        </v>
      </c>
      <c r="D123" s="4" t="str">
        <f>"汉族"</f>
        <v>汉族</v>
      </c>
      <c r="E123" s="4" t="str">
        <f>"广西百色"</f>
        <v>广西百色</v>
      </c>
      <c r="F123" s="4" t="str">
        <f>"1992年03月"</f>
        <v>1992年03月</v>
      </c>
      <c r="G123" s="4" t="str">
        <f t="shared" si="42"/>
        <v>共青团员</v>
      </c>
      <c r="H123" s="4" t="str">
        <f>"452631199203010334"</f>
        <v>452631199203010334</v>
      </c>
      <c r="I123" s="4" t="str">
        <f>"广西师范大学体育教育"</f>
        <v>广西师范大学体育教育</v>
      </c>
      <c r="J123" s="4" t="str">
        <f t="shared" si="39"/>
        <v>体育教育</v>
      </c>
      <c r="K123" s="4" t="str">
        <f t="shared" si="34"/>
        <v>本科学士</v>
      </c>
      <c r="L123" s="4" t="str">
        <f>"15078335796"</f>
        <v>15078335796</v>
      </c>
      <c r="M123" s="4" t="str">
        <f t="shared" si="26"/>
        <v>隆林县</v>
      </c>
      <c r="N123" s="4" t="str">
        <f>"广西隆林各族自治县桠杈镇忠义村厂上屯009号"</f>
        <v>广西隆林各族自治县桠杈镇忠义村厂上屯009号</v>
      </c>
      <c r="O123" s="4" t="str">
        <f>"563276455@qq.com"</f>
        <v>563276455@qq.com</v>
      </c>
      <c r="P123" s="4" t="str">
        <f>"2013.05.01"</f>
        <v>2013.05.01</v>
      </c>
      <c r="Q123" s="4" t="str">
        <f>"2017.06.01"</f>
        <v>2017.06.01</v>
      </c>
      <c r="R123" s="4" t="str">
        <f t="shared" si="40"/>
        <v>是</v>
      </c>
      <c r="S123" s="4" t="str">
        <f t="shared" si="41"/>
        <v>4:高级中学</v>
      </c>
      <c r="T123" s="4" t="str">
        <f>"2017454009300"</f>
        <v>2017454009300</v>
      </c>
      <c r="U123" s="4" t="str">
        <f>"2017届毕业生填暂无"</f>
        <v>2017届毕业生填暂无</v>
      </c>
      <c r="V123" s="4" t="str">
        <f t="shared" si="27"/>
        <v>初中</v>
      </c>
      <c r="W123" s="4" t="str">
        <f t="shared" si="37"/>
        <v>212:体育</v>
      </c>
      <c r="X123" s="4" t="str">
        <f t="shared" si="28"/>
        <v>通过</v>
      </c>
    </row>
    <row r="124" spans="1:24" s="1" customFormat="1" ht="99.75">
      <c r="A124" s="4" t="str">
        <f>"18"</f>
        <v>18</v>
      </c>
      <c r="B124" s="4" t="str">
        <f>"张顺发"</f>
        <v>张顺发</v>
      </c>
      <c r="C124" s="4" t="str">
        <f>"男        "</f>
        <v>男        </v>
      </c>
      <c r="D124" s="4" t="str">
        <f>"汉族"</f>
        <v>汉族</v>
      </c>
      <c r="E124" s="4" t="str">
        <f>"隆林"</f>
        <v>隆林</v>
      </c>
      <c r="F124" s="4" t="str">
        <f>"1992年01月"</f>
        <v>1992年01月</v>
      </c>
      <c r="G124" s="4" t="str">
        <f t="shared" si="42"/>
        <v>共青团员</v>
      </c>
      <c r="H124" s="4" t="str">
        <f>"45263119920102031X"</f>
        <v>45263119920102031X</v>
      </c>
      <c r="I124" s="4" t="str">
        <f>"广西民族大学体育教育"</f>
        <v>广西民族大学体育教育</v>
      </c>
      <c r="J124" s="4" t="str">
        <f t="shared" si="39"/>
        <v>体育教育</v>
      </c>
      <c r="K124" s="4" t="str">
        <f t="shared" si="34"/>
        <v>本科学士</v>
      </c>
      <c r="L124" s="4" t="str">
        <f>"15078694401"</f>
        <v>15078694401</v>
      </c>
      <c r="M124" s="4" t="str">
        <f t="shared" si="26"/>
        <v>隆林县</v>
      </c>
      <c r="N124" s="4" t="str">
        <f>"广西各族自治区百色市隆林各族自治县桠杈镇忠义村上坝"</f>
        <v>广西各族自治区百色市隆林各族自治县桠杈镇忠义村上坝</v>
      </c>
      <c r="O124" s="4" t="str">
        <f>"1143662433@qq.com"</f>
        <v>1143662433@qq.com</v>
      </c>
      <c r="P124" s="4">
        <f>""</f>
      </c>
      <c r="Q124" s="4" t="str">
        <f>"2016.06.01"</f>
        <v>2016.06.01</v>
      </c>
      <c r="R124" s="4" t="str">
        <f t="shared" si="40"/>
        <v>是</v>
      </c>
      <c r="S124" s="4" t="str">
        <f t="shared" si="41"/>
        <v>4:高级中学</v>
      </c>
      <c r="T124" s="4" t="str">
        <f>"正在认定"</f>
        <v>正在认定</v>
      </c>
      <c r="U124" s="4" t="str">
        <f>"106081201605002405"</f>
        <v>106081201605002405</v>
      </c>
      <c r="V124" s="4" t="str">
        <f t="shared" si="27"/>
        <v>初中</v>
      </c>
      <c r="W124" s="4" t="str">
        <f t="shared" si="37"/>
        <v>212:体育</v>
      </c>
      <c r="X124" s="4" t="str">
        <f t="shared" si="28"/>
        <v>通过</v>
      </c>
    </row>
    <row r="125" spans="1:24" s="1" customFormat="1" ht="57">
      <c r="A125" s="4" t="str">
        <f>"19"</f>
        <v>19</v>
      </c>
      <c r="B125" s="4" t="str">
        <f>"龙军"</f>
        <v>龙军</v>
      </c>
      <c r="C125" s="4" t="str">
        <f>"男        "</f>
        <v>男        </v>
      </c>
      <c r="D125" s="4" t="str">
        <f>"黎族"</f>
        <v>黎族</v>
      </c>
      <c r="E125" s="4" t="str">
        <f>"贵州省普安县"</f>
        <v>贵州省普安县</v>
      </c>
      <c r="F125" s="4" t="str">
        <f>"1995年06月"</f>
        <v>1995年06月</v>
      </c>
      <c r="G125" s="4" t="str">
        <f t="shared" si="42"/>
        <v>共青团员</v>
      </c>
      <c r="H125" s="4" t="str">
        <f>"522323199506083815"</f>
        <v>522323199506083815</v>
      </c>
      <c r="I125" s="4" t="str">
        <f>"黔南民族师范学院体育教育"</f>
        <v>黔南民族师范学院体育教育</v>
      </c>
      <c r="J125" s="4" t="str">
        <f t="shared" si="39"/>
        <v>体育教育</v>
      </c>
      <c r="K125" s="4" t="str">
        <f t="shared" si="34"/>
        <v>本科学士</v>
      </c>
      <c r="L125" s="4" t="str">
        <f>"15180791531"</f>
        <v>15180791531</v>
      </c>
      <c r="M125" s="4" t="str">
        <f t="shared" si="26"/>
        <v>隆林县</v>
      </c>
      <c r="N125" s="4" t="str">
        <f>"贵州省普安县罗汉乡小河村龙家寨组"</f>
        <v>贵州省普安县罗汉乡小河村龙家寨组</v>
      </c>
      <c r="O125" s="4" t="str">
        <f>"1229300096@qq.com"</f>
        <v>1229300096@qq.com</v>
      </c>
      <c r="P125" s="4">
        <f>""</f>
      </c>
      <c r="Q125" s="4" t="str">
        <f>"2016.07.01"</f>
        <v>2016.07.01</v>
      </c>
      <c r="R125" s="4" t="str">
        <f t="shared" si="40"/>
        <v>是</v>
      </c>
      <c r="S125" s="4" t="str">
        <f t="shared" si="41"/>
        <v>4:高级中学</v>
      </c>
      <c r="T125" s="4" t="str">
        <f>"20165270041001407"</f>
        <v>20165270041001407</v>
      </c>
      <c r="U125" s="4" t="str">
        <f>"106701201605001763"</f>
        <v>106701201605001763</v>
      </c>
      <c r="V125" s="4" t="str">
        <f t="shared" si="27"/>
        <v>初中</v>
      </c>
      <c r="W125" s="4" t="str">
        <f t="shared" si="37"/>
        <v>212:体育</v>
      </c>
      <c r="X125" s="4" t="str">
        <f t="shared" si="28"/>
        <v>通过</v>
      </c>
    </row>
    <row r="126" spans="1:24" s="1" customFormat="1" ht="71.25">
      <c r="A126" s="4" t="str">
        <f>"20"</f>
        <v>20</v>
      </c>
      <c r="B126" s="4" t="str">
        <f>"刘道坤"</f>
        <v>刘道坤</v>
      </c>
      <c r="C126" s="4" t="str">
        <f>"男        "</f>
        <v>男        </v>
      </c>
      <c r="D126" s="4" t="str">
        <f>"彝族"</f>
        <v>彝族</v>
      </c>
      <c r="E126" s="4" t="str">
        <f>"云南文山"</f>
        <v>云南文山</v>
      </c>
      <c r="F126" s="4" t="str">
        <f>"1993年12月"</f>
        <v>1993年12月</v>
      </c>
      <c r="G126" s="4" t="str">
        <f t="shared" si="42"/>
        <v>共青团员</v>
      </c>
      <c r="H126" s="4" t="str">
        <f>"532627199312070972"</f>
        <v>532627199312070972</v>
      </c>
      <c r="I126" s="4" t="str">
        <f>"文山学院体育教育"</f>
        <v>文山学院体育教育</v>
      </c>
      <c r="J126" s="4" t="str">
        <f t="shared" si="39"/>
        <v>体育教育</v>
      </c>
      <c r="K126" s="4" t="str">
        <f t="shared" si="34"/>
        <v>本科学士</v>
      </c>
      <c r="L126" s="4" t="str">
        <f>"14787724628"</f>
        <v>14787724628</v>
      </c>
      <c r="M126" s="4" t="str">
        <f t="shared" si="26"/>
        <v>隆林县</v>
      </c>
      <c r="N126" s="4" t="str">
        <f>"云南省文山州广南县旧莫乡龙布分小组45号"</f>
        <v>云南省文山州广南县旧莫乡龙布分小组45号</v>
      </c>
      <c r="O126" s="4" t="str">
        <f>"810367250@qq.com"</f>
        <v>810367250@qq.com</v>
      </c>
      <c r="P126" s="4">
        <f>""</f>
      </c>
      <c r="Q126" s="4" t="str">
        <f>"2016.07.01"</f>
        <v>2016.07.01</v>
      </c>
      <c r="R126" s="4" t="str">
        <f t="shared" si="40"/>
        <v>是</v>
      </c>
      <c r="S126" s="4" t="str">
        <f t="shared" si="41"/>
        <v>4:高级中学</v>
      </c>
      <c r="T126" s="4" t="str">
        <f>"20165307341001087"</f>
        <v>20165307341001087</v>
      </c>
      <c r="U126" s="4" t="str">
        <f>"115561201605000629"</f>
        <v>115561201605000629</v>
      </c>
      <c r="V126" s="4" t="str">
        <f t="shared" si="27"/>
        <v>初中</v>
      </c>
      <c r="W126" s="4" t="str">
        <f t="shared" si="37"/>
        <v>212:体育</v>
      </c>
      <c r="X126" s="4" t="str">
        <f t="shared" si="28"/>
        <v>通过</v>
      </c>
    </row>
    <row r="127" spans="1:24" s="1" customFormat="1" ht="71.25">
      <c r="A127" s="4" t="str">
        <f>"21"</f>
        <v>21</v>
      </c>
      <c r="B127" s="4" t="str">
        <f>"宋娇"</f>
        <v>宋娇</v>
      </c>
      <c r="C127" s="4" t="str">
        <f>"女        "</f>
        <v>女        </v>
      </c>
      <c r="D127" s="4" t="str">
        <f>"汉族"</f>
        <v>汉族</v>
      </c>
      <c r="E127" s="4" t="str">
        <f>"广西隆林"</f>
        <v>广西隆林</v>
      </c>
      <c r="F127" s="4" t="str">
        <f>"1992年01月"</f>
        <v>1992年01月</v>
      </c>
      <c r="G127" s="4" t="str">
        <f t="shared" si="42"/>
        <v>共青团员</v>
      </c>
      <c r="H127" s="4" t="str">
        <f>"452631199201294804"</f>
        <v>452631199201294804</v>
      </c>
      <c r="I127" s="4" t="str">
        <f>"百色学院体育教学"</f>
        <v>百色学院体育教学</v>
      </c>
      <c r="J127" s="4" t="str">
        <f>"体育教学"</f>
        <v>体育教学</v>
      </c>
      <c r="K127" s="4" t="str">
        <f t="shared" si="34"/>
        <v>本科学士</v>
      </c>
      <c r="L127" s="4" t="str">
        <f>"15277643189"</f>
        <v>15277643189</v>
      </c>
      <c r="M127" s="4" t="str">
        <f t="shared" si="26"/>
        <v>隆林县</v>
      </c>
      <c r="N127" s="4" t="str">
        <f>"广西隆林各族自治县介廷乡平利村山塘屯11号"</f>
        <v>广西隆林各族自治县介廷乡平利村山塘屯11号</v>
      </c>
      <c r="O127" s="4" t="str">
        <f>"1257452489@qq.com"</f>
        <v>1257452489@qq.com</v>
      </c>
      <c r="P127" s="4">
        <f>""</f>
      </c>
      <c r="Q127" s="4" t="str">
        <f>"2017.07.01"</f>
        <v>2017.07.01</v>
      </c>
      <c r="R127" s="4" t="str">
        <f t="shared" si="40"/>
        <v>是</v>
      </c>
      <c r="S127" s="4" t="str">
        <f>"3:初级中学"</f>
        <v>3:初级中学</v>
      </c>
      <c r="T127" s="4" t="str">
        <f>"2017届毕业生填暂无"</f>
        <v>2017届毕业生填暂无</v>
      </c>
      <c r="U127" s="4" t="str">
        <f>"2017届毕业生填暂无"</f>
        <v>2017届毕业生填暂无</v>
      </c>
      <c r="V127" s="4" t="str">
        <f t="shared" si="27"/>
        <v>初中</v>
      </c>
      <c r="W127" s="4" t="str">
        <f t="shared" si="37"/>
        <v>212:体育</v>
      </c>
      <c r="X127" s="4" t="str">
        <f t="shared" si="28"/>
        <v>通过</v>
      </c>
    </row>
    <row r="128" spans="1:24" s="1" customFormat="1" ht="71.25">
      <c r="A128" s="4" t="str">
        <f>"22"</f>
        <v>22</v>
      </c>
      <c r="B128" s="4" t="str">
        <f>"向臣艳"</f>
        <v>向臣艳</v>
      </c>
      <c r="C128" s="4" t="str">
        <f>"女        "</f>
        <v>女        </v>
      </c>
      <c r="D128" s="4" t="str">
        <f>"布依族"</f>
        <v>布依族</v>
      </c>
      <c r="E128" s="4" t="str">
        <f>"贵州"</f>
        <v>贵州</v>
      </c>
      <c r="F128" s="4" t="str">
        <f>"1995年09月"</f>
        <v>1995年09月</v>
      </c>
      <c r="G128" s="4" t="str">
        <f t="shared" si="42"/>
        <v>共青团员</v>
      </c>
      <c r="H128" s="4" t="str">
        <f>"522325199509130827"</f>
        <v>522325199509130827</v>
      </c>
      <c r="I128" s="4" t="str">
        <f>"安顺学院体育教育职教师资方向"</f>
        <v>安顺学院体育教育职教师资方向</v>
      </c>
      <c r="J128" s="4" t="str">
        <f>"体育教育职教师资方向"</f>
        <v>体育教育职教师资方向</v>
      </c>
      <c r="K128" s="4" t="str">
        <f t="shared" si="34"/>
        <v>本科学士</v>
      </c>
      <c r="L128" s="4" t="str">
        <f>"18334110858"</f>
        <v>18334110858</v>
      </c>
      <c r="M128" s="4" t="str">
        <f t="shared" si="26"/>
        <v>隆林县</v>
      </c>
      <c r="N128" s="4" t="str">
        <f>"贵州省贞丰县者相镇冬妹村上冬妹组"</f>
        <v>贵州省贞丰县者相镇冬妹村上冬妹组</v>
      </c>
      <c r="O128" s="4" t="str">
        <f>"815066844@qq.com"</f>
        <v>815066844@qq.com</v>
      </c>
      <c r="P128" s="4" t="str">
        <f>"2016.09.01"</f>
        <v>2016.09.01</v>
      </c>
      <c r="Q128" s="4" t="str">
        <f>"2017.07.01"</f>
        <v>2017.07.01</v>
      </c>
      <c r="R128" s="4" t="str">
        <f t="shared" si="40"/>
        <v>是</v>
      </c>
      <c r="S128" s="4" t="str">
        <f>"4:高级中学"</f>
        <v>4:高级中学</v>
      </c>
      <c r="T128" s="4" t="str">
        <f>"无"</f>
        <v>无</v>
      </c>
      <c r="U128" s="4" t="str">
        <f>"无"</f>
        <v>无</v>
      </c>
      <c r="V128" s="4" t="str">
        <f t="shared" si="27"/>
        <v>初中</v>
      </c>
      <c r="W128" s="4" t="str">
        <f t="shared" si="37"/>
        <v>212:体育</v>
      </c>
      <c r="X128" s="4" t="str">
        <f t="shared" si="28"/>
        <v>通过</v>
      </c>
    </row>
    <row r="129" spans="1:24" s="1" customFormat="1" ht="57">
      <c r="A129" s="4" t="str">
        <f>"23"</f>
        <v>23</v>
      </c>
      <c r="B129" s="4" t="str">
        <f>"肖厚春"</f>
        <v>肖厚春</v>
      </c>
      <c r="C129" s="4" t="str">
        <f>"女        "</f>
        <v>女        </v>
      </c>
      <c r="D129" s="4" t="str">
        <f>"汉族"</f>
        <v>汉族</v>
      </c>
      <c r="E129" s="4" t="str">
        <f>"贵州安龙"</f>
        <v>贵州安龙</v>
      </c>
      <c r="F129" s="4" t="str">
        <f>"1994年04月"</f>
        <v>1994年04月</v>
      </c>
      <c r="G129" s="4" t="str">
        <f t="shared" si="42"/>
        <v>共青团员</v>
      </c>
      <c r="H129" s="4" t="str">
        <f>"522328199404130440"</f>
        <v>522328199404130440</v>
      </c>
      <c r="I129" s="4" t="str">
        <f>"贵州师范大学求是学院体育教育"</f>
        <v>贵州师范大学求是学院体育教育</v>
      </c>
      <c r="J129" s="4" t="str">
        <f>"体育教育"</f>
        <v>体育教育</v>
      </c>
      <c r="K129" s="4" t="str">
        <f t="shared" si="34"/>
        <v>本科学士</v>
      </c>
      <c r="L129" s="4" t="str">
        <f>"15761643376"</f>
        <v>15761643376</v>
      </c>
      <c r="M129" s="4" t="str">
        <f t="shared" si="26"/>
        <v>隆林县</v>
      </c>
      <c r="N129" s="4" t="str">
        <f>"贵州省安龙县德卧镇聋飘村一组"</f>
        <v>贵州省安龙县德卧镇聋飘村一组</v>
      </c>
      <c r="O129" s="4" t="str">
        <f>"1292523295@qq.com"</f>
        <v>1292523295@qq.com</v>
      </c>
      <c r="P129" s="4">
        <f>""</f>
      </c>
      <c r="Q129" s="4" t="str">
        <f>"2017.07.01"</f>
        <v>2017.07.01</v>
      </c>
      <c r="R129" s="4" t="str">
        <f t="shared" si="40"/>
        <v>是</v>
      </c>
      <c r="S129" s="4" t="str">
        <f>"4:高级中学"</f>
        <v>4:高级中学</v>
      </c>
      <c r="T129" s="4" t="str">
        <f>"暂无"</f>
        <v>暂无</v>
      </c>
      <c r="U129" s="4" t="str">
        <f>"暂无"</f>
        <v>暂无</v>
      </c>
      <c r="V129" s="4" t="str">
        <f t="shared" si="27"/>
        <v>初中</v>
      </c>
      <c r="W129" s="4" t="str">
        <f t="shared" si="37"/>
        <v>212:体育</v>
      </c>
      <c r="X129" s="4" t="str">
        <f t="shared" si="28"/>
        <v>通过</v>
      </c>
    </row>
    <row r="130" spans="1:24" s="1" customFormat="1" ht="57">
      <c r="A130" s="4" t="str">
        <f>"24"</f>
        <v>24</v>
      </c>
      <c r="B130" s="4" t="str">
        <f>"吕长治"</f>
        <v>吕长治</v>
      </c>
      <c r="C130" s="4" t="str">
        <f aca="true" t="shared" si="43" ref="C130:C135">"男        "</f>
        <v>男        </v>
      </c>
      <c r="D130" s="4" t="str">
        <f>"彝族"</f>
        <v>彝族</v>
      </c>
      <c r="E130" s="4" t="str">
        <f>"广西百色市隆林县"</f>
        <v>广西百色市隆林县</v>
      </c>
      <c r="F130" s="4" t="str">
        <f>"1994年03月"</f>
        <v>1994年03月</v>
      </c>
      <c r="G130" s="4" t="str">
        <f>"群众"</f>
        <v>群众</v>
      </c>
      <c r="H130" s="4" t="str">
        <f>"452631199403220010"</f>
        <v>452631199403220010</v>
      </c>
      <c r="I130" s="4" t="str">
        <f>"百色学院体育教育"</f>
        <v>百色学院体育教育</v>
      </c>
      <c r="J130" s="4" t="str">
        <f>"体育教育"</f>
        <v>体育教育</v>
      </c>
      <c r="K130" s="4" t="str">
        <f t="shared" si="34"/>
        <v>本科学士</v>
      </c>
      <c r="L130" s="4" t="str">
        <f>"13607763957"</f>
        <v>13607763957</v>
      </c>
      <c r="M130" s="4" t="str">
        <f t="shared" si="26"/>
        <v>隆林县</v>
      </c>
      <c r="N130" s="4" t="str">
        <f>"广西百色市隆林各族自治县"</f>
        <v>广西百色市隆林各族自治县</v>
      </c>
      <c r="O130" s="4" t="str">
        <f>"1332952812@qq.com"</f>
        <v>1332952812@qq.com</v>
      </c>
      <c r="P130" s="4">
        <f>""</f>
      </c>
      <c r="Q130" s="4" t="str">
        <f>"2017.06.01"</f>
        <v>2017.06.01</v>
      </c>
      <c r="R130" s="4" t="str">
        <f t="shared" si="40"/>
        <v>是</v>
      </c>
      <c r="S130" s="4" t="str">
        <f>"4:高级中学"</f>
        <v>4:高级中学</v>
      </c>
      <c r="T130" s="4" t="str">
        <f>"2017届毕业生填暂无"</f>
        <v>2017届毕业生填暂无</v>
      </c>
      <c r="U130" s="4" t="str">
        <f>"106091201705001522"</f>
        <v>106091201705001522</v>
      </c>
      <c r="V130" s="4" t="str">
        <f t="shared" si="27"/>
        <v>初中</v>
      </c>
      <c r="W130" s="4" t="str">
        <f t="shared" si="37"/>
        <v>212:体育</v>
      </c>
      <c r="X130" s="4" t="str">
        <f t="shared" si="28"/>
        <v>通过</v>
      </c>
    </row>
    <row r="131" spans="1:24" s="1" customFormat="1" ht="85.5">
      <c r="A131" s="4" t="str">
        <f>"25"</f>
        <v>25</v>
      </c>
      <c r="B131" s="4" t="str">
        <f>"范永伟"</f>
        <v>范永伟</v>
      </c>
      <c r="C131" s="4" t="str">
        <f t="shared" si="43"/>
        <v>男        </v>
      </c>
      <c r="D131" s="4" t="str">
        <f>"汉族"</f>
        <v>汉族</v>
      </c>
      <c r="E131" s="4" t="str">
        <f>"云南马龙"</f>
        <v>云南马龙</v>
      </c>
      <c r="F131" s="4" t="str">
        <f>"1993年09月"</f>
        <v>1993年09月</v>
      </c>
      <c r="G131" s="4" t="str">
        <f>"共青团员"</f>
        <v>共青团员</v>
      </c>
      <c r="H131" s="4" t="str">
        <f>"530321199309180517"</f>
        <v>530321199309180517</v>
      </c>
      <c r="I131" s="4" t="str">
        <f>"玉溪师范学院社会体育指导与管理"</f>
        <v>玉溪师范学院社会体育指导与管理</v>
      </c>
      <c r="J131" s="4" t="str">
        <f>"社会体育指导与管理"</f>
        <v>社会体育指导与管理</v>
      </c>
      <c r="K131" s="4" t="str">
        <f t="shared" si="34"/>
        <v>本科学士</v>
      </c>
      <c r="L131" s="4" t="str">
        <f>"13320587981"</f>
        <v>13320587981</v>
      </c>
      <c r="M131" s="4" t="str">
        <f aca="true" t="shared" si="44" ref="M131:M194">"隆林县"</f>
        <v>隆林县</v>
      </c>
      <c r="N131" s="4" t="str">
        <f>"云南省曲靖市马龙县旧县镇龙海村委会大平地村"</f>
        <v>云南省曲靖市马龙县旧县镇龙海村委会大平地村</v>
      </c>
      <c r="O131" s="4" t="str">
        <f>"15877854326@139.com"</f>
        <v>15877854326@139.com</v>
      </c>
      <c r="P131" s="4" t="str">
        <f>"2016.09.01"</f>
        <v>2016.09.01</v>
      </c>
      <c r="Q131" s="4" t="str">
        <f>"2017.07.01"</f>
        <v>2017.07.01</v>
      </c>
      <c r="R131" s="4" t="str">
        <f>"不是"</f>
        <v>不是</v>
      </c>
      <c r="S131" s="4" t="str">
        <f>"0:暂未取得"</f>
        <v>0:暂未取得</v>
      </c>
      <c r="T131" s="4" t="str">
        <f>"2017届毕业生填暂无"</f>
        <v>2017届毕业生填暂无</v>
      </c>
      <c r="U131" s="4" t="str">
        <f>"2017届毕业生填暂无"</f>
        <v>2017届毕业生填暂无</v>
      </c>
      <c r="V131" s="4" t="str">
        <f aca="true" t="shared" si="45" ref="V131:V180">"初中"</f>
        <v>初中</v>
      </c>
      <c r="W131" s="4" t="str">
        <f t="shared" si="37"/>
        <v>212:体育</v>
      </c>
      <c r="X131" s="4" t="str">
        <f aca="true" t="shared" si="46" ref="X131:X194">"通过"</f>
        <v>通过</v>
      </c>
    </row>
    <row r="132" spans="1:24" s="1" customFormat="1" ht="71.25">
      <c r="A132" s="4" t="str">
        <f>"26"</f>
        <v>26</v>
      </c>
      <c r="B132" s="4" t="str">
        <f>"罗隆尚"</f>
        <v>罗隆尚</v>
      </c>
      <c r="C132" s="4" t="str">
        <f t="shared" si="43"/>
        <v>男        </v>
      </c>
      <c r="D132" s="4" t="str">
        <f>"壮族"</f>
        <v>壮族</v>
      </c>
      <c r="E132" s="4" t="str">
        <f>"广西隆林"</f>
        <v>广西隆林</v>
      </c>
      <c r="F132" s="4" t="str">
        <f>"1992年09月"</f>
        <v>1992年09月</v>
      </c>
      <c r="G132" s="4" t="str">
        <f>"共青团员"</f>
        <v>共青团员</v>
      </c>
      <c r="H132" s="4" t="str">
        <f>"452631199209182655"</f>
        <v>452631199209182655</v>
      </c>
      <c r="I132" s="4" t="str">
        <f>"广西师范大学体育教育"</f>
        <v>广西师范大学体育教育</v>
      </c>
      <c r="J132" s="4" t="str">
        <f>"体育教育"</f>
        <v>体育教育</v>
      </c>
      <c r="K132" s="4" t="str">
        <f t="shared" si="34"/>
        <v>本科学士</v>
      </c>
      <c r="L132" s="4" t="str">
        <f>"15077601077"</f>
        <v>15077601077</v>
      </c>
      <c r="M132" s="4" t="str">
        <f t="shared" si="44"/>
        <v>隆林县</v>
      </c>
      <c r="N132" s="4" t="str">
        <f>"广西百色市隆林县幸福花园18栋一单元502室"</f>
        <v>广西百色市隆林县幸福花园18栋一单元502室</v>
      </c>
      <c r="O132" s="4" t="str">
        <f>"356566517@qq.com"</f>
        <v>356566517@qq.com</v>
      </c>
      <c r="P132" s="4">
        <f>""</f>
      </c>
      <c r="Q132" s="4" t="str">
        <f>"2015.06.01"</f>
        <v>2015.06.01</v>
      </c>
      <c r="R132" s="4" t="str">
        <f>"是"</f>
        <v>是</v>
      </c>
      <c r="S132" s="4" t="str">
        <f>"4:高级中学"</f>
        <v>4:高级中学</v>
      </c>
      <c r="T132" s="4" t="str">
        <f>"20154503041001461"</f>
        <v>20154503041001461</v>
      </c>
      <c r="U132" s="4" t="str">
        <f>"106021201505001904"</f>
        <v>106021201505001904</v>
      </c>
      <c r="V132" s="4" t="str">
        <f t="shared" si="45"/>
        <v>初中</v>
      </c>
      <c r="W132" s="4" t="str">
        <f t="shared" si="37"/>
        <v>212:体育</v>
      </c>
      <c r="X132" s="4" t="str">
        <f t="shared" si="46"/>
        <v>通过</v>
      </c>
    </row>
    <row r="133" spans="1:24" s="1" customFormat="1" ht="57">
      <c r="A133" s="4" t="str">
        <f>"27"</f>
        <v>27</v>
      </c>
      <c r="B133" s="4" t="str">
        <f>"余万泽"</f>
        <v>余万泽</v>
      </c>
      <c r="C133" s="4" t="str">
        <f t="shared" si="43"/>
        <v>男        </v>
      </c>
      <c r="D133" s="4" t="str">
        <f>"汉族"</f>
        <v>汉族</v>
      </c>
      <c r="E133" s="4" t="str">
        <f>"贵州省安龙县"</f>
        <v>贵州省安龙县</v>
      </c>
      <c r="F133" s="4" t="str">
        <f>"1991年10月"</f>
        <v>1991年10月</v>
      </c>
      <c r="G133" s="4" t="str">
        <f>"群众"</f>
        <v>群众</v>
      </c>
      <c r="H133" s="4" t="str">
        <f>"522328199110082834"</f>
        <v>522328199110082834</v>
      </c>
      <c r="I133" s="4" t="str">
        <f>"贵州工程应用技术学院体育教育"</f>
        <v>贵州工程应用技术学院体育教育</v>
      </c>
      <c r="J133" s="4" t="str">
        <f>"体育教育"</f>
        <v>体育教育</v>
      </c>
      <c r="K133" s="4" t="str">
        <f t="shared" si="34"/>
        <v>本科学士</v>
      </c>
      <c r="L133" s="4" t="str">
        <f>"18260823189"</f>
        <v>18260823189</v>
      </c>
      <c r="M133" s="4" t="str">
        <f t="shared" si="44"/>
        <v>隆林县</v>
      </c>
      <c r="N133" s="4" t="str">
        <f>"贵州省安龙洒雨镇"</f>
        <v>贵州省安龙洒雨镇</v>
      </c>
      <c r="O133" s="4" t="str">
        <f>"1965166926@qq.com"</f>
        <v>1965166926@qq.com</v>
      </c>
      <c r="P133" s="4">
        <f>""</f>
      </c>
      <c r="Q133" s="4" t="str">
        <f>"2015.07.01"</f>
        <v>2015.07.01</v>
      </c>
      <c r="R133" s="4" t="str">
        <f>"是"</f>
        <v>是</v>
      </c>
      <c r="S133" s="4" t="str">
        <f>"4:高级中学"</f>
        <v>4:高级中学</v>
      </c>
      <c r="T133" s="4" t="str">
        <f>"20155240041000146"</f>
        <v>20155240041000146</v>
      </c>
      <c r="U133" s="4" t="str">
        <f>"106681201505000980"</f>
        <v>106681201505000980</v>
      </c>
      <c r="V133" s="4" t="str">
        <f t="shared" si="45"/>
        <v>初中</v>
      </c>
      <c r="W133" s="4" t="str">
        <f t="shared" si="37"/>
        <v>212:体育</v>
      </c>
      <c r="X133" s="4" t="str">
        <f t="shared" si="46"/>
        <v>通过</v>
      </c>
    </row>
    <row r="134" spans="1:24" s="1" customFormat="1" ht="57">
      <c r="A134" s="4" t="str">
        <f>"28"</f>
        <v>28</v>
      </c>
      <c r="B134" s="4" t="str">
        <f>"黄文海"</f>
        <v>黄文海</v>
      </c>
      <c r="C134" s="4" t="str">
        <f t="shared" si="43"/>
        <v>男        </v>
      </c>
      <c r="D134" s="4" t="str">
        <f>"汉族"</f>
        <v>汉族</v>
      </c>
      <c r="E134" s="4" t="str">
        <f>"广西"</f>
        <v>广西</v>
      </c>
      <c r="F134" s="4" t="str">
        <f>"1990年12月"</f>
        <v>1990年12月</v>
      </c>
      <c r="G134" s="4" t="str">
        <f>"共青团员"</f>
        <v>共青团员</v>
      </c>
      <c r="H134" s="4" t="str">
        <f>"450922199012083133"</f>
        <v>450922199012083133</v>
      </c>
      <c r="I134" s="4" t="str">
        <f>"百色学院体育教育"</f>
        <v>百色学院体育教育</v>
      </c>
      <c r="J134" s="4" t="str">
        <f>"体育教育"</f>
        <v>体育教育</v>
      </c>
      <c r="K134" s="4" t="str">
        <f t="shared" si="34"/>
        <v>本科学士</v>
      </c>
      <c r="L134" s="4" t="str">
        <f>"18276637343"</f>
        <v>18276637343</v>
      </c>
      <c r="M134" s="4" t="str">
        <f t="shared" si="44"/>
        <v>隆林县</v>
      </c>
      <c r="N134" s="4" t="str">
        <f>"广西玉林陆川县良田镇冯杏村"</f>
        <v>广西玉林陆川县良田镇冯杏村</v>
      </c>
      <c r="O134" s="4" t="str">
        <f>"649341175@qq.com"</f>
        <v>649341175@qq.com</v>
      </c>
      <c r="P134" s="4" t="str">
        <f>"2015.09.01"</f>
        <v>2015.09.01</v>
      </c>
      <c r="Q134" s="4" t="str">
        <f>"2015.06.01"</f>
        <v>2015.06.01</v>
      </c>
      <c r="R134" s="4" t="str">
        <f>"是"</f>
        <v>是</v>
      </c>
      <c r="S134" s="4" t="str">
        <f>"4:高级中学"</f>
        <v>4:高级中学</v>
      </c>
      <c r="T134" s="4" t="str">
        <f>"20154580041000267"</f>
        <v>20154580041000267</v>
      </c>
      <c r="U134" s="4" t="str">
        <f>"106091201505000973"</f>
        <v>106091201505000973</v>
      </c>
      <c r="V134" s="4" t="str">
        <f t="shared" si="45"/>
        <v>初中</v>
      </c>
      <c r="W134" s="4" t="str">
        <f t="shared" si="37"/>
        <v>212:体育</v>
      </c>
      <c r="X134" s="4" t="str">
        <f t="shared" si="46"/>
        <v>通过</v>
      </c>
    </row>
    <row r="135" spans="1:24" s="1" customFormat="1" ht="57">
      <c r="A135" s="4" t="str">
        <f>"29"</f>
        <v>29</v>
      </c>
      <c r="B135" s="4" t="str">
        <f>"罗元"</f>
        <v>罗元</v>
      </c>
      <c r="C135" s="4" t="str">
        <f t="shared" si="43"/>
        <v>男        </v>
      </c>
      <c r="D135" s="4" t="str">
        <f>"布依族"</f>
        <v>布依族</v>
      </c>
      <c r="E135" s="4" t="str">
        <f>"贵州省望谟县"</f>
        <v>贵州省望谟县</v>
      </c>
      <c r="F135" s="4" t="str">
        <f>"1992年05月"</f>
        <v>1992年05月</v>
      </c>
      <c r="G135" s="4" t="str">
        <f>"共青团员"</f>
        <v>共青团员</v>
      </c>
      <c r="H135" s="4" t="str">
        <f>"522326199205180055"</f>
        <v>522326199205180055</v>
      </c>
      <c r="I135" s="4" t="str">
        <f>"贵州师范大学求是学院体育与健康"</f>
        <v>贵州师范大学求是学院体育与健康</v>
      </c>
      <c r="J135" s="4" t="str">
        <f>"体育与健康"</f>
        <v>体育与健康</v>
      </c>
      <c r="K135" s="4" t="str">
        <f t="shared" si="34"/>
        <v>本科学士</v>
      </c>
      <c r="L135" s="4" t="str">
        <f>"18786605976"</f>
        <v>18786605976</v>
      </c>
      <c r="M135" s="4" t="str">
        <f t="shared" si="44"/>
        <v>隆林县</v>
      </c>
      <c r="N135" s="4" t="str">
        <f>"贵州省望谟县复兴镇坝碰村一组"</f>
        <v>贵州省望谟县复兴镇坝碰村一组</v>
      </c>
      <c r="O135" s="4" t="str">
        <f>"1248154711@qq.com"</f>
        <v>1248154711@qq.com</v>
      </c>
      <c r="P135" s="4">
        <f>""</f>
      </c>
      <c r="Q135" s="4" t="str">
        <f>"2016.07.01"</f>
        <v>2016.07.01</v>
      </c>
      <c r="R135" s="4" t="str">
        <f>"是"</f>
        <v>是</v>
      </c>
      <c r="S135" s="4" t="str">
        <f>"4:高级中学"</f>
        <v>4:高级中学</v>
      </c>
      <c r="T135" s="4" t="str">
        <f>"20165210041002978"</f>
        <v>20165210041002978</v>
      </c>
      <c r="U135" s="4" t="str">
        <f>"136521201605001418"</f>
        <v>136521201605001418</v>
      </c>
      <c r="V135" s="4" t="str">
        <f t="shared" si="45"/>
        <v>初中</v>
      </c>
      <c r="W135" s="4" t="str">
        <f t="shared" si="37"/>
        <v>212:体育</v>
      </c>
      <c r="X135" s="4" t="str">
        <f t="shared" si="46"/>
        <v>通过</v>
      </c>
    </row>
    <row r="136" spans="1:24" s="1" customFormat="1" ht="57">
      <c r="A136" s="4" t="str">
        <f>"1"</f>
        <v>1</v>
      </c>
      <c r="B136" s="4" t="str">
        <f>"梁烁"</f>
        <v>梁烁</v>
      </c>
      <c r="C136" s="4" t="str">
        <f>"男        "</f>
        <v>男        </v>
      </c>
      <c r="D136" s="4" t="str">
        <f>"布依族"</f>
        <v>布依族</v>
      </c>
      <c r="E136" s="4" t="str">
        <f>"贵州兴仁"</f>
        <v>贵州兴仁</v>
      </c>
      <c r="F136" s="4" t="str">
        <f>"1996年05月"</f>
        <v>1996年05月</v>
      </c>
      <c r="G136" s="4" t="str">
        <f>"共青团员"</f>
        <v>共青团员</v>
      </c>
      <c r="H136" s="4" t="str">
        <f>"52232219960505241X"</f>
        <v>52232219960505241X</v>
      </c>
      <c r="I136" s="4" t="str">
        <f>"聊城大学东昌学院音乐表演"</f>
        <v>聊城大学东昌学院音乐表演</v>
      </c>
      <c r="J136" s="4" t="str">
        <f>"音乐表演"</f>
        <v>音乐表演</v>
      </c>
      <c r="K136" s="4" t="str">
        <f>"本科学士"</f>
        <v>本科学士</v>
      </c>
      <c r="L136" s="4" t="str">
        <f>"18386481994"</f>
        <v>18386481994</v>
      </c>
      <c r="M136" s="4" t="str">
        <f t="shared" si="44"/>
        <v>隆林县</v>
      </c>
      <c r="N136" s="4" t="str">
        <f>"贵州省兴仁县东湖街道办事处"</f>
        <v>贵州省兴仁县东湖街道办事处</v>
      </c>
      <c r="O136" s="4" t="str">
        <f>"1726601037@qq.com"</f>
        <v>1726601037@qq.com</v>
      </c>
      <c r="P136" s="4" t="str">
        <f>"2017.05.01"</f>
        <v>2017.05.01</v>
      </c>
      <c r="Q136" s="4" t="str">
        <f>"2017.07.01"</f>
        <v>2017.07.01</v>
      </c>
      <c r="R136" s="4" t="str">
        <f>"不是"</f>
        <v>不是</v>
      </c>
      <c r="S136" s="4" t="str">
        <f>"0:暂未取得"</f>
        <v>0:暂未取得</v>
      </c>
      <c r="T136" s="4" t="str">
        <f>"暂无"</f>
        <v>暂无</v>
      </c>
      <c r="U136" s="4" t="str">
        <f>"133731201605000514"</f>
        <v>133731201605000514</v>
      </c>
      <c r="V136" s="4" t="str">
        <f t="shared" si="45"/>
        <v>初中</v>
      </c>
      <c r="W136" s="4" t="str">
        <f aca="true" t="shared" si="47" ref="W136:W141">"213:音乐"</f>
        <v>213:音乐</v>
      </c>
      <c r="X136" s="4" t="str">
        <f t="shared" si="46"/>
        <v>通过</v>
      </c>
    </row>
    <row r="137" spans="1:24" s="1" customFormat="1" ht="57">
      <c r="A137" s="4" t="str">
        <f>"2"</f>
        <v>2</v>
      </c>
      <c r="B137" s="4" t="str">
        <f>"魏光兴"</f>
        <v>魏光兴</v>
      </c>
      <c r="C137" s="4" t="str">
        <f>"男        "</f>
        <v>男        </v>
      </c>
      <c r="D137" s="4" t="str">
        <f>"汉族"</f>
        <v>汉族</v>
      </c>
      <c r="E137" s="4" t="str">
        <f>"贵州兴义"</f>
        <v>贵州兴义</v>
      </c>
      <c r="F137" s="4" t="str">
        <f>"1992年12月"</f>
        <v>1992年12月</v>
      </c>
      <c r="G137" s="4" t="str">
        <f>"中共党员"</f>
        <v>中共党员</v>
      </c>
      <c r="H137" s="4" t="str">
        <f>"52232119921214371X"</f>
        <v>52232119921214371X</v>
      </c>
      <c r="I137" s="4" t="str">
        <f>"桂林师范高等专科小学校音乐表演"</f>
        <v>桂林师范高等专科小学校音乐表演</v>
      </c>
      <c r="J137" s="4" t="str">
        <f>"音乐表演"</f>
        <v>音乐表演</v>
      </c>
      <c r="K137" s="4" t="str">
        <f>"专科无学位"</f>
        <v>专科无学位</v>
      </c>
      <c r="L137" s="4" t="str">
        <f>"13558338187"</f>
        <v>13558338187</v>
      </c>
      <c r="M137" s="4" t="str">
        <f t="shared" si="44"/>
        <v>隆林县</v>
      </c>
      <c r="N137" s="4" t="str">
        <f>"贵州省兴义市万屯镇贡新村八组"</f>
        <v>贵州省兴义市万屯镇贡新村八组</v>
      </c>
      <c r="O137" s="4" t="str">
        <f>"1039783095@qq.com"</f>
        <v>1039783095@qq.com</v>
      </c>
      <c r="P137" s="4" t="str">
        <f>"2015.07.01"</f>
        <v>2015.07.01</v>
      </c>
      <c r="Q137" s="4" t="str">
        <f>"2015.06.01"</f>
        <v>2015.06.01</v>
      </c>
      <c r="R137" s="4" t="str">
        <f>"不是"</f>
        <v>不是</v>
      </c>
      <c r="S137" s="4" t="str">
        <f>"5:中等职业学校"</f>
        <v>5:中等职业学校</v>
      </c>
      <c r="T137" s="4" t="str">
        <f>"制作中"</f>
        <v>制作中</v>
      </c>
      <c r="U137" s="4" t="str">
        <f>"11671120150600176"</f>
        <v>11671120150600176</v>
      </c>
      <c r="V137" s="4" t="str">
        <f t="shared" si="45"/>
        <v>初中</v>
      </c>
      <c r="W137" s="4" t="str">
        <f t="shared" si="47"/>
        <v>213:音乐</v>
      </c>
      <c r="X137" s="4" t="str">
        <f t="shared" si="46"/>
        <v>通过</v>
      </c>
    </row>
    <row r="138" spans="1:24" s="1" customFormat="1" ht="71.25">
      <c r="A138" s="4" t="str">
        <f>"3"</f>
        <v>3</v>
      </c>
      <c r="B138" s="4" t="str">
        <f>"吴浩东"</f>
        <v>吴浩东</v>
      </c>
      <c r="C138" s="4" t="str">
        <f>"男        "</f>
        <v>男        </v>
      </c>
      <c r="D138" s="4" t="str">
        <f>"汉族"</f>
        <v>汉族</v>
      </c>
      <c r="E138" s="4" t="str">
        <f>"云南省"</f>
        <v>云南省</v>
      </c>
      <c r="F138" s="4" t="str">
        <f>"1988年12月"</f>
        <v>1988年12月</v>
      </c>
      <c r="G138" s="4" t="str">
        <f>"共青团员"</f>
        <v>共青团员</v>
      </c>
      <c r="H138" s="4" t="str">
        <f>"530325198812171352"</f>
        <v>530325198812171352</v>
      </c>
      <c r="I138" s="4" t="str">
        <f>"昭通学院音乐教育"</f>
        <v>昭通学院音乐教育</v>
      </c>
      <c r="J138" s="4" t="str">
        <f>"音乐教育"</f>
        <v>音乐教育</v>
      </c>
      <c r="K138" s="4" t="str">
        <f>"专科无学位"</f>
        <v>专科无学位</v>
      </c>
      <c r="L138" s="4" t="str">
        <f>"15284544518"</f>
        <v>15284544518</v>
      </c>
      <c r="M138" s="4" t="str">
        <f t="shared" si="44"/>
        <v>隆林县</v>
      </c>
      <c r="N138" s="4" t="str">
        <f>"云南省曲靖市富源县富村镇托田村委会洒居村"</f>
        <v>云南省曲靖市富源县富村镇托田村委会洒居村</v>
      </c>
      <c r="O138" s="4" t="str">
        <f>"2241523670@qq.com"</f>
        <v>2241523670@qq.com</v>
      </c>
      <c r="P138" s="4" t="str">
        <f>"2012.09.01"</f>
        <v>2012.09.01</v>
      </c>
      <c r="Q138" s="4" t="str">
        <f>"2012.07.01"</f>
        <v>2012.07.01</v>
      </c>
      <c r="R138" s="4" t="str">
        <f>"是"</f>
        <v>是</v>
      </c>
      <c r="S138" s="4" t="str">
        <f>"3:初级中学"</f>
        <v>3:初级中学</v>
      </c>
      <c r="T138" s="4" t="str">
        <f>"20125301731001025"</f>
        <v>20125301731001025</v>
      </c>
      <c r="U138" s="4" t="str">
        <f>"106831201206001361"</f>
        <v>106831201206001361</v>
      </c>
      <c r="V138" s="4" t="str">
        <f t="shared" si="45"/>
        <v>初中</v>
      </c>
      <c r="W138" s="4" t="str">
        <f t="shared" si="47"/>
        <v>213:音乐</v>
      </c>
      <c r="X138" s="4" t="str">
        <f t="shared" si="46"/>
        <v>通过</v>
      </c>
    </row>
    <row r="139" spans="1:24" s="1" customFormat="1" ht="71.25">
      <c r="A139" s="4" t="str">
        <f>"4"</f>
        <v>4</v>
      </c>
      <c r="B139" s="4" t="str">
        <f>"段周宏"</f>
        <v>段周宏</v>
      </c>
      <c r="C139" s="4" t="str">
        <f>"男        "</f>
        <v>男        </v>
      </c>
      <c r="D139" s="4" t="str">
        <f>"汉族"</f>
        <v>汉族</v>
      </c>
      <c r="E139" s="4" t="str">
        <f>"兴义市"</f>
        <v>兴义市</v>
      </c>
      <c r="F139" s="4" t="str">
        <f>"1989年02月"</f>
        <v>1989年02月</v>
      </c>
      <c r="G139" s="4" t="str">
        <f>"群众"</f>
        <v>群众</v>
      </c>
      <c r="H139" s="4" t="str">
        <f>"52232119890223581X"</f>
        <v>52232119890223581X</v>
      </c>
      <c r="I139" s="4" t="str">
        <f>"贵州省商业高等专科学校表演艺术声乐方向"</f>
        <v>贵州省商业高等专科学校表演艺术声乐方向</v>
      </c>
      <c r="J139" s="4" t="str">
        <f>"表演艺术声乐方向"</f>
        <v>表演艺术声乐方向</v>
      </c>
      <c r="K139" s="4" t="str">
        <f>"专科无学位"</f>
        <v>专科无学位</v>
      </c>
      <c r="L139" s="4" t="str">
        <f>"15685935539"</f>
        <v>15685935539</v>
      </c>
      <c r="M139" s="4" t="str">
        <f t="shared" si="44"/>
        <v>隆林县</v>
      </c>
      <c r="N139" s="4" t="str">
        <f>"贵州省兴义市威舍镇发哈村5组"</f>
        <v>贵州省兴义市威舍镇发哈村5组</v>
      </c>
      <c r="O139" s="4" t="str">
        <f>"774735512@qq.com"</f>
        <v>774735512@qq.com</v>
      </c>
      <c r="P139" s="4" t="str">
        <f>"2017.05.01"</f>
        <v>2017.05.01</v>
      </c>
      <c r="Q139" s="4" t="str">
        <f>"2014.07.01"</f>
        <v>2014.07.01</v>
      </c>
      <c r="R139" s="4" t="str">
        <f>"是"</f>
        <v>是</v>
      </c>
      <c r="S139" s="4" t="str">
        <f>"3:初级中学"</f>
        <v>3:初级中学</v>
      </c>
      <c r="T139" s="4" t="str">
        <f>"20145290131001125"</f>
        <v>20145290131001125</v>
      </c>
      <c r="U139" s="4" t="str">
        <f>"117311201406002547"</f>
        <v>117311201406002547</v>
      </c>
      <c r="V139" s="4" t="str">
        <f t="shared" si="45"/>
        <v>初中</v>
      </c>
      <c r="W139" s="4" t="str">
        <f t="shared" si="47"/>
        <v>213:音乐</v>
      </c>
      <c r="X139" s="4" t="str">
        <f t="shared" si="46"/>
        <v>通过</v>
      </c>
    </row>
    <row r="140" spans="1:24" s="1" customFormat="1" ht="57">
      <c r="A140" s="4" t="str">
        <f>"5"</f>
        <v>5</v>
      </c>
      <c r="B140" s="4" t="str">
        <f>"李超"</f>
        <v>李超</v>
      </c>
      <c r="C140" s="4" t="str">
        <f>"男        "</f>
        <v>男        </v>
      </c>
      <c r="D140" s="4" t="str">
        <f>"汉族"</f>
        <v>汉族</v>
      </c>
      <c r="E140" s="4" t="str">
        <f>"贵州"</f>
        <v>贵州</v>
      </c>
      <c r="F140" s="4" t="str">
        <f>"1989年10月"</f>
        <v>1989年10月</v>
      </c>
      <c r="G140" s="4" t="str">
        <f aca="true" t="shared" si="48" ref="G140:G146">"共青团员"</f>
        <v>共青团员</v>
      </c>
      <c r="H140" s="4" t="str">
        <f>"522322198910141510"</f>
        <v>522322198910141510</v>
      </c>
      <c r="I140" s="4" t="str">
        <f>"贵州省兴义民族师范学院音乐教育"</f>
        <v>贵州省兴义民族师范学院音乐教育</v>
      </c>
      <c r="J140" s="4" t="str">
        <f>"音乐教育"</f>
        <v>音乐教育</v>
      </c>
      <c r="K140" s="4" t="str">
        <f>"专科无学位"</f>
        <v>专科无学位</v>
      </c>
      <c r="L140" s="4" t="str">
        <f>"15870350410"</f>
        <v>15870350410</v>
      </c>
      <c r="M140" s="4" t="str">
        <f t="shared" si="44"/>
        <v>隆林县</v>
      </c>
      <c r="N140" s="4" t="str">
        <f>"贵州省兴仁县田湾乡大田角村头寨组"</f>
        <v>贵州省兴仁县田湾乡大田角村头寨组</v>
      </c>
      <c r="O140" s="4" t="str">
        <f>"1272641966@qq.com"</f>
        <v>1272641966@qq.com</v>
      </c>
      <c r="P140" s="4" t="str">
        <f>"2015.09.01"</f>
        <v>2015.09.01</v>
      </c>
      <c r="Q140" s="4" t="str">
        <f>"2015.06.01"</f>
        <v>2015.06.01</v>
      </c>
      <c r="R140" s="4" t="str">
        <f>"是"</f>
        <v>是</v>
      </c>
      <c r="S140" s="4" t="str">
        <f>"3:初级中学"</f>
        <v>3:初级中学</v>
      </c>
      <c r="T140" s="4" t="str">
        <f>"20155290131000269"</f>
        <v>20155290131000269</v>
      </c>
      <c r="U140" s="4" t="str">
        <f>"106661201506000756"</f>
        <v>106661201506000756</v>
      </c>
      <c r="V140" s="4" t="str">
        <f t="shared" si="45"/>
        <v>初中</v>
      </c>
      <c r="W140" s="4" t="str">
        <f t="shared" si="47"/>
        <v>213:音乐</v>
      </c>
      <c r="X140" s="4" t="str">
        <f t="shared" si="46"/>
        <v>通过</v>
      </c>
    </row>
    <row r="141" spans="1:24" s="1" customFormat="1" ht="71.25">
      <c r="A141" s="4" t="str">
        <f>"6"</f>
        <v>6</v>
      </c>
      <c r="B141" s="4" t="str">
        <f>"吴金瑶"</f>
        <v>吴金瑶</v>
      </c>
      <c r="C141" s="4" t="str">
        <f>"女        "</f>
        <v>女        </v>
      </c>
      <c r="D141" s="4" t="str">
        <f>"壮族"</f>
        <v>壮族</v>
      </c>
      <c r="E141" s="4" t="str">
        <f>"隆林"</f>
        <v>隆林</v>
      </c>
      <c r="F141" s="4" t="str">
        <f>"1990年04月"</f>
        <v>1990年04月</v>
      </c>
      <c r="G141" s="4" t="str">
        <f t="shared" si="48"/>
        <v>共青团员</v>
      </c>
      <c r="H141" s="4" t="str">
        <f>"452631199004180023"</f>
        <v>452631199004180023</v>
      </c>
      <c r="I141" s="4" t="str">
        <f>"桂林师范高等专科学校音乐教育"</f>
        <v>桂林师范高等专科学校音乐教育</v>
      </c>
      <c r="J141" s="4" t="str">
        <f>"音乐教育"</f>
        <v>音乐教育</v>
      </c>
      <c r="K141" s="4" t="str">
        <f>"专科无学位"</f>
        <v>专科无学位</v>
      </c>
      <c r="L141" s="4" t="str">
        <f>"18278692299"</f>
        <v>18278692299</v>
      </c>
      <c r="M141" s="4" t="str">
        <f t="shared" si="44"/>
        <v>隆林县</v>
      </c>
      <c r="N141" s="4" t="str">
        <f>"广西百色市隆林各族自治县民权街135号"</f>
        <v>广西百色市隆林各族自治县民权街135号</v>
      </c>
      <c r="O141" s="4" t="str">
        <f>"540969915@qq.com"</f>
        <v>540969915@qq.com</v>
      </c>
      <c r="P141" s="4" t="str">
        <f>"2012.10.01"</f>
        <v>2012.10.01</v>
      </c>
      <c r="Q141" s="4" t="str">
        <f>"2014.06.01"</f>
        <v>2014.06.01</v>
      </c>
      <c r="R141" s="4" t="str">
        <f>"是"</f>
        <v>是</v>
      </c>
      <c r="S141" s="4" t="str">
        <f>"3:初级中学"</f>
        <v>3:初级中学</v>
      </c>
      <c r="T141" s="4" t="str">
        <f>"20124503032000053"</f>
        <v>20124503032000053</v>
      </c>
      <c r="U141" s="4" t="str">
        <f>"116711201206001905"</f>
        <v>116711201206001905</v>
      </c>
      <c r="V141" s="4" t="str">
        <f t="shared" si="45"/>
        <v>初中</v>
      </c>
      <c r="W141" s="4" t="str">
        <f t="shared" si="47"/>
        <v>213:音乐</v>
      </c>
      <c r="X141" s="4" t="str">
        <f t="shared" si="46"/>
        <v>通过</v>
      </c>
    </row>
    <row r="142" spans="1:24" s="1" customFormat="1" ht="57">
      <c r="A142" s="4" t="str">
        <f>"1"</f>
        <v>1</v>
      </c>
      <c r="B142" s="4" t="str">
        <f>"符足娥"</f>
        <v>符足娥</v>
      </c>
      <c r="C142" s="4" t="str">
        <f aca="true" t="shared" si="49" ref="C142:C147">"女        "</f>
        <v>女        </v>
      </c>
      <c r="D142" s="4" t="str">
        <f>"汉族"</f>
        <v>汉族</v>
      </c>
      <c r="E142" s="4" t="str">
        <f>"贵州"</f>
        <v>贵州</v>
      </c>
      <c r="F142" s="4" t="str">
        <f>"1992年10月"</f>
        <v>1992年10月</v>
      </c>
      <c r="G142" s="4" t="str">
        <f t="shared" si="48"/>
        <v>共青团员</v>
      </c>
      <c r="H142" s="4" t="str">
        <f>"522326199210243022"</f>
        <v>522326199210243022</v>
      </c>
      <c r="I142" s="4" t="str">
        <f>"黔南民族师范学院艺术设计"</f>
        <v>黔南民族师范学院艺术设计</v>
      </c>
      <c r="J142" s="4" t="str">
        <f>"艺术设计"</f>
        <v>艺术设计</v>
      </c>
      <c r="K142" s="4" t="str">
        <f aca="true" t="shared" si="50" ref="K142:K159">"本科学士"</f>
        <v>本科学士</v>
      </c>
      <c r="L142" s="4" t="str">
        <f>"15180795146"</f>
        <v>15180795146</v>
      </c>
      <c r="M142" s="4" t="str">
        <f t="shared" si="44"/>
        <v>隆林县</v>
      </c>
      <c r="N142" s="4" t="str">
        <f>"贵州省望谟县郊纳镇八步村下寨组"</f>
        <v>贵州省望谟县郊纳镇八步村下寨组</v>
      </c>
      <c r="O142" s="4" t="str">
        <f>"1076946454@qq.com"</f>
        <v>1076946454@qq.com</v>
      </c>
      <c r="P142" s="4" t="str">
        <f>"2017.05.01"</f>
        <v>2017.05.01</v>
      </c>
      <c r="Q142" s="4" t="str">
        <f>"2016.07.01"</f>
        <v>2016.07.01</v>
      </c>
      <c r="R142" s="4" t="str">
        <f>"不是"</f>
        <v>不是</v>
      </c>
      <c r="S142" s="4" t="str">
        <f aca="true" t="shared" si="51" ref="S142:S151">"4:高级中学"</f>
        <v>4:高级中学</v>
      </c>
      <c r="T142" s="4" t="str">
        <f>"2015524010769"</f>
        <v>2015524010769</v>
      </c>
      <c r="U142" s="4" t="str">
        <f>"106701201605002553"</f>
        <v>106701201605002553</v>
      </c>
      <c r="V142" s="4" t="str">
        <f t="shared" si="45"/>
        <v>初中</v>
      </c>
      <c r="W142" s="4" t="str">
        <f aca="true" t="shared" si="52" ref="W142:W152">"214:美术"</f>
        <v>214:美术</v>
      </c>
      <c r="X142" s="4" t="str">
        <f t="shared" si="46"/>
        <v>通过</v>
      </c>
    </row>
    <row r="143" spans="1:24" s="1" customFormat="1" ht="42.75">
      <c r="A143" s="4" t="str">
        <f>"2"</f>
        <v>2</v>
      </c>
      <c r="B143" s="4" t="str">
        <f>"李龙茜"</f>
        <v>李龙茜</v>
      </c>
      <c r="C143" s="4" t="str">
        <f t="shared" si="49"/>
        <v>女        </v>
      </c>
      <c r="D143" s="4" t="str">
        <f>"汉族"</f>
        <v>汉族</v>
      </c>
      <c r="E143" s="4" t="str">
        <f>"贵州兴义"</f>
        <v>贵州兴义</v>
      </c>
      <c r="F143" s="4" t="str">
        <f>"1994年07月"</f>
        <v>1994年07月</v>
      </c>
      <c r="G143" s="4" t="str">
        <f t="shared" si="48"/>
        <v>共青团员</v>
      </c>
      <c r="H143" s="4" t="str">
        <f>"522321199407184327"</f>
        <v>522321199407184327</v>
      </c>
      <c r="I143" s="4" t="str">
        <f>"兴义民族师范学院美术学"</f>
        <v>兴义民族师范学院美术学</v>
      </c>
      <c r="J143" s="4" t="str">
        <f>"美术学"</f>
        <v>美术学</v>
      </c>
      <c r="K143" s="4" t="str">
        <f t="shared" si="50"/>
        <v>本科学士</v>
      </c>
      <c r="L143" s="4" t="str">
        <f>"18785938127"</f>
        <v>18785938127</v>
      </c>
      <c r="M143" s="4" t="str">
        <f t="shared" si="44"/>
        <v>隆林县</v>
      </c>
      <c r="N143" s="4">
        <f>""</f>
      </c>
      <c r="O143" s="4" t="str">
        <f>"1356205128@qq.com"</f>
        <v>1356205128@qq.com</v>
      </c>
      <c r="P143" s="4">
        <f>""</f>
      </c>
      <c r="Q143" s="4" t="str">
        <f>"2017.07.01"</f>
        <v>2017.07.01</v>
      </c>
      <c r="R143" s="4" t="str">
        <f>"是"</f>
        <v>是</v>
      </c>
      <c r="S143" s="4" t="str">
        <f t="shared" si="51"/>
        <v>4:高级中学</v>
      </c>
      <c r="T143" s="4" t="str">
        <f>"暂无"</f>
        <v>暂无</v>
      </c>
      <c r="U143" s="4" t="str">
        <f>"暂无"</f>
        <v>暂无</v>
      </c>
      <c r="V143" s="4" t="str">
        <f t="shared" si="45"/>
        <v>初中</v>
      </c>
      <c r="W143" s="4" t="str">
        <f t="shared" si="52"/>
        <v>214:美术</v>
      </c>
      <c r="X143" s="4" t="str">
        <f t="shared" si="46"/>
        <v>通过</v>
      </c>
    </row>
    <row r="144" spans="1:24" s="1" customFormat="1" ht="57">
      <c r="A144" s="4" t="str">
        <f>"3"</f>
        <v>3</v>
      </c>
      <c r="B144" s="4" t="str">
        <f>"李珍"</f>
        <v>李珍</v>
      </c>
      <c r="C144" s="4" t="str">
        <f t="shared" si="49"/>
        <v>女        </v>
      </c>
      <c r="D144" s="4" t="str">
        <f>"壮族"</f>
        <v>壮族</v>
      </c>
      <c r="E144" s="4" t="str">
        <f>"广西百色市隆林县"</f>
        <v>广西百色市隆林县</v>
      </c>
      <c r="F144" s="4" t="str">
        <f>"1992年04月"</f>
        <v>1992年04月</v>
      </c>
      <c r="G144" s="4" t="str">
        <f t="shared" si="48"/>
        <v>共青团员</v>
      </c>
      <c r="H144" s="4" t="str">
        <f>"452631199204040025"</f>
        <v>452631199204040025</v>
      </c>
      <c r="I144" s="4" t="str">
        <f>"广西艺术学院中国画"</f>
        <v>广西艺术学院中国画</v>
      </c>
      <c r="J144" s="4" t="str">
        <f>"中国画"</f>
        <v>中国画</v>
      </c>
      <c r="K144" s="4" t="str">
        <f t="shared" si="50"/>
        <v>本科学士</v>
      </c>
      <c r="L144" s="4" t="str">
        <f>"18825080460"</f>
        <v>18825080460</v>
      </c>
      <c r="M144" s="4" t="str">
        <f t="shared" si="44"/>
        <v>隆林县</v>
      </c>
      <c r="N144" s="4" t="str">
        <f>"广西百色市隆林县鹤城幼儿园"</f>
        <v>广西百色市隆林县鹤城幼儿园</v>
      </c>
      <c r="O144" s="4" t="str">
        <f>"757580772@qq.com"</f>
        <v>757580772@qq.com</v>
      </c>
      <c r="P144" s="4" t="str">
        <f>"2015.03.01"</f>
        <v>2015.03.01</v>
      </c>
      <c r="Q144" s="4" t="str">
        <f>"2015.07.01"</f>
        <v>2015.07.01</v>
      </c>
      <c r="R144" s="4" t="str">
        <f>"不是"</f>
        <v>不是</v>
      </c>
      <c r="S144" s="4" t="str">
        <f t="shared" si="51"/>
        <v>4:高级中学</v>
      </c>
      <c r="T144" s="4" t="str">
        <f>"2016454004368"</f>
        <v>2016454004368</v>
      </c>
      <c r="U144" s="4" t="str">
        <f>"106071201505001029"</f>
        <v>106071201505001029</v>
      </c>
      <c r="V144" s="4" t="str">
        <f t="shared" si="45"/>
        <v>初中</v>
      </c>
      <c r="W144" s="4" t="str">
        <f t="shared" si="52"/>
        <v>214:美术</v>
      </c>
      <c r="X144" s="4" t="str">
        <f t="shared" si="46"/>
        <v>通过</v>
      </c>
    </row>
    <row r="145" spans="1:24" s="1" customFormat="1" ht="71.25">
      <c r="A145" s="4" t="str">
        <f>"4"</f>
        <v>4</v>
      </c>
      <c r="B145" s="4" t="str">
        <f>"龙锦莹"</f>
        <v>龙锦莹</v>
      </c>
      <c r="C145" s="4" t="str">
        <f t="shared" si="49"/>
        <v>女        </v>
      </c>
      <c r="D145" s="4" t="str">
        <f>"彝族"</f>
        <v>彝族</v>
      </c>
      <c r="E145" s="4" t="str">
        <f>"贵州省兴仁县"</f>
        <v>贵州省兴仁县</v>
      </c>
      <c r="F145" s="4" t="str">
        <f>"1994年01月"</f>
        <v>1994年01月</v>
      </c>
      <c r="G145" s="4" t="str">
        <f t="shared" si="48"/>
        <v>共青团员</v>
      </c>
      <c r="H145" s="4" t="str">
        <f>"522322199401051327"</f>
        <v>522322199401051327</v>
      </c>
      <c r="I145" s="4" t="str">
        <f>"兴义民族师范学院美术学"</f>
        <v>兴义民族师范学院美术学</v>
      </c>
      <c r="J145" s="4" t="str">
        <f aca="true" t="shared" si="53" ref="J145:J152">"美术学"</f>
        <v>美术学</v>
      </c>
      <c r="K145" s="4" t="str">
        <f t="shared" si="50"/>
        <v>本科学士</v>
      </c>
      <c r="L145" s="4" t="str">
        <f>"18785938446"</f>
        <v>18785938446</v>
      </c>
      <c r="M145" s="4" t="str">
        <f t="shared" si="44"/>
        <v>隆林县</v>
      </c>
      <c r="N145" s="4" t="str">
        <f>"贵州省兴仁县新马场乡围豹村二组1号"</f>
        <v>贵州省兴仁县新马场乡围豹村二组1号</v>
      </c>
      <c r="O145" s="4" t="str">
        <f>"1203709491@qq.com"</f>
        <v>1203709491@qq.com</v>
      </c>
      <c r="P145" s="4">
        <f>""</f>
      </c>
      <c r="Q145" s="4" t="str">
        <f>"2017.07.01"</f>
        <v>2017.07.01</v>
      </c>
      <c r="R145" s="4" t="str">
        <f aca="true" t="shared" si="54" ref="R145:R152">"是"</f>
        <v>是</v>
      </c>
      <c r="S145" s="4" t="str">
        <f t="shared" si="51"/>
        <v>4:高级中学</v>
      </c>
      <c r="T145" s="4" t="str">
        <f>"2017届毕业生填暂无"</f>
        <v>2017届毕业生填暂无</v>
      </c>
      <c r="U145" s="4" t="str">
        <f>"2017届毕业生填暂无"</f>
        <v>2017届毕业生填暂无</v>
      </c>
      <c r="V145" s="4" t="str">
        <f t="shared" si="45"/>
        <v>初中</v>
      </c>
      <c r="W145" s="4" t="str">
        <f t="shared" si="52"/>
        <v>214:美术</v>
      </c>
      <c r="X145" s="4" t="str">
        <f t="shared" si="46"/>
        <v>通过</v>
      </c>
    </row>
    <row r="146" spans="1:24" s="1" customFormat="1" ht="85.5">
      <c r="A146" s="4" t="str">
        <f>"5"</f>
        <v>5</v>
      </c>
      <c r="B146" s="4" t="str">
        <f>"周超群"</f>
        <v>周超群</v>
      </c>
      <c r="C146" s="4" t="str">
        <f t="shared" si="49"/>
        <v>女        </v>
      </c>
      <c r="D146" s="4" t="str">
        <f>"汉族"</f>
        <v>汉族</v>
      </c>
      <c r="E146" s="4" t="str">
        <f>"广西隆林"</f>
        <v>广西隆林</v>
      </c>
      <c r="F146" s="4" t="str">
        <f>"1992年02月"</f>
        <v>1992年02月</v>
      </c>
      <c r="G146" s="4" t="str">
        <f t="shared" si="48"/>
        <v>共青团员</v>
      </c>
      <c r="H146" s="4" t="str">
        <f>"452631199202100020"</f>
        <v>452631199202100020</v>
      </c>
      <c r="I146" s="4" t="str">
        <f>"广西艺术学院美术学"</f>
        <v>广西艺术学院美术学</v>
      </c>
      <c r="J146" s="4" t="str">
        <f t="shared" si="53"/>
        <v>美术学</v>
      </c>
      <c r="K146" s="4" t="str">
        <f t="shared" si="50"/>
        <v>本科学士</v>
      </c>
      <c r="L146" s="4" t="str">
        <f>"15078208624"</f>
        <v>15078208624</v>
      </c>
      <c r="M146" s="4" t="str">
        <f t="shared" si="44"/>
        <v>隆林县</v>
      </c>
      <c r="N146" s="4" t="str">
        <f>"广西隆林各族自治县新州镇民生社区民生街321号"</f>
        <v>广西隆林各族自治县新州镇民生社区民生街321号</v>
      </c>
      <c r="O146" s="4" t="str">
        <f>"805840208@qq.com"</f>
        <v>805840208@qq.com</v>
      </c>
      <c r="P146" s="4" t="str">
        <f>"2016.09.01"</f>
        <v>2016.09.01</v>
      </c>
      <c r="Q146" s="4" t="str">
        <f>"2016.06.01"</f>
        <v>2016.06.01</v>
      </c>
      <c r="R146" s="4" t="str">
        <f t="shared" si="54"/>
        <v>是</v>
      </c>
      <c r="S146" s="4" t="str">
        <f t="shared" si="51"/>
        <v>4:高级中学</v>
      </c>
      <c r="T146" s="4" t="str">
        <f>"20164501042000687"</f>
        <v>20164501042000687</v>
      </c>
      <c r="U146" s="4" t="str">
        <f>"106071201605101209"</f>
        <v>106071201605101209</v>
      </c>
      <c r="V146" s="4" t="str">
        <f t="shared" si="45"/>
        <v>初中</v>
      </c>
      <c r="W146" s="4" t="str">
        <f t="shared" si="52"/>
        <v>214:美术</v>
      </c>
      <c r="X146" s="4" t="str">
        <f t="shared" si="46"/>
        <v>通过</v>
      </c>
    </row>
    <row r="147" spans="1:24" s="1" customFormat="1" ht="71.25">
      <c r="A147" s="4" t="str">
        <f>"6"</f>
        <v>6</v>
      </c>
      <c r="B147" s="4" t="str">
        <f>"王雯"</f>
        <v>王雯</v>
      </c>
      <c r="C147" s="4" t="str">
        <f t="shared" si="49"/>
        <v>女        </v>
      </c>
      <c r="D147" s="4" t="str">
        <f>"汉族"</f>
        <v>汉族</v>
      </c>
      <c r="E147" s="4" t="str">
        <f>"云南省曲靖市"</f>
        <v>云南省曲靖市</v>
      </c>
      <c r="F147" s="4" t="str">
        <f>"1988年06月"</f>
        <v>1988年06月</v>
      </c>
      <c r="G147" s="4" t="str">
        <f>"中共党员"</f>
        <v>中共党员</v>
      </c>
      <c r="H147" s="4" t="str">
        <f>"530324198806050945"</f>
        <v>530324198806050945</v>
      </c>
      <c r="I147" s="4" t="str">
        <f>"曲靖师范学院美术学"</f>
        <v>曲靖师范学院美术学</v>
      </c>
      <c r="J147" s="4" t="str">
        <f t="shared" si="53"/>
        <v>美术学</v>
      </c>
      <c r="K147" s="4" t="str">
        <f t="shared" si="50"/>
        <v>本科学士</v>
      </c>
      <c r="L147" s="4" t="str">
        <f>"15287976881"</f>
        <v>15287976881</v>
      </c>
      <c r="M147" s="4" t="str">
        <f t="shared" si="44"/>
        <v>隆林县</v>
      </c>
      <c r="N147" s="4" t="str">
        <f>"云南省曲靖市陆良县三岔河镇白岩村委会"</f>
        <v>云南省曲靖市陆良县三岔河镇白岩村委会</v>
      </c>
      <c r="O147" s="4" t="str">
        <f>"1349970378@qq.com"</f>
        <v>1349970378@qq.com</v>
      </c>
      <c r="P147" s="4" t="str">
        <f>"2012.09.01"</f>
        <v>2012.09.01</v>
      </c>
      <c r="Q147" s="4" t="str">
        <f>"2012.06.01"</f>
        <v>2012.06.01</v>
      </c>
      <c r="R147" s="4" t="str">
        <f t="shared" si="54"/>
        <v>是</v>
      </c>
      <c r="S147" s="4" t="str">
        <f t="shared" si="51"/>
        <v>4:高级中学</v>
      </c>
      <c r="T147" s="4" t="str">
        <f>"20125302842001228"</f>
        <v>20125302842001228</v>
      </c>
      <c r="U147" s="4" t="str">
        <f>"106841201205001918"</f>
        <v>106841201205001918</v>
      </c>
      <c r="V147" s="4" t="str">
        <f t="shared" si="45"/>
        <v>初中</v>
      </c>
      <c r="W147" s="4" t="str">
        <f t="shared" si="52"/>
        <v>214:美术</v>
      </c>
      <c r="X147" s="4" t="str">
        <f t="shared" si="46"/>
        <v>通过</v>
      </c>
    </row>
    <row r="148" spans="1:24" s="1" customFormat="1" ht="57">
      <c r="A148" s="4" t="str">
        <f>"7"</f>
        <v>7</v>
      </c>
      <c r="B148" s="4" t="str">
        <f>"陆波"</f>
        <v>陆波</v>
      </c>
      <c r="C148" s="4" t="str">
        <f>"男        "</f>
        <v>男        </v>
      </c>
      <c r="D148" s="4" t="str">
        <f>"布依族"</f>
        <v>布依族</v>
      </c>
      <c r="E148" s="4" t="str">
        <f>"贵州省晴隆县"</f>
        <v>贵州省晴隆县</v>
      </c>
      <c r="F148" s="4" t="str">
        <f>"1993年04月"</f>
        <v>1993年04月</v>
      </c>
      <c r="G148" s="4" t="str">
        <f aca="true" t="shared" si="55" ref="G148:G157">"共青团员"</f>
        <v>共青团员</v>
      </c>
      <c r="H148" s="4" t="str">
        <f>"522324199304184411"</f>
        <v>522324199304184411</v>
      </c>
      <c r="I148" s="4" t="str">
        <f>"贵州民族大学人文科技学院美术学"</f>
        <v>贵州民族大学人文科技学院美术学</v>
      </c>
      <c r="J148" s="4" t="str">
        <f t="shared" si="53"/>
        <v>美术学</v>
      </c>
      <c r="K148" s="4" t="str">
        <f t="shared" si="50"/>
        <v>本科学士</v>
      </c>
      <c r="L148" s="4" t="str">
        <f>"18286967998"</f>
        <v>18286967998</v>
      </c>
      <c r="M148" s="4" t="str">
        <f t="shared" si="44"/>
        <v>隆林县</v>
      </c>
      <c r="N148" s="4" t="str">
        <f>"贵州省晴隆县大田乡大寨村红土组"</f>
        <v>贵州省晴隆县大田乡大寨村红土组</v>
      </c>
      <c r="O148" s="4" t="str">
        <f>"445007983@qq.com"</f>
        <v>445007983@qq.com</v>
      </c>
      <c r="P148" s="4">
        <f>""</f>
      </c>
      <c r="Q148" s="4" t="str">
        <f>"2014.07.01"</f>
        <v>2014.07.01</v>
      </c>
      <c r="R148" s="4" t="str">
        <f t="shared" si="54"/>
        <v>是</v>
      </c>
      <c r="S148" s="4" t="str">
        <f t="shared" si="51"/>
        <v>4:高级中学</v>
      </c>
      <c r="T148" s="4" t="str">
        <f>"20145210041006732"</f>
        <v>20145210041006732</v>
      </c>
      <c r="U148" s="4" t="str">
        <f>"136511201405001089"</f>
        <v>136511201405001089</v>
      </c>
      <c r="V148" s="4" t="str">
        <f t="shared" si="45"/>
        <v>初中</v>
      </c>
      <c r="W148" s="4" t="str">
        <f t="shared" si="52"/>
        <v>214:美术</v>
      </c>
      <c r="X148" s="4" t="str">
        <f t="shared" si="46"/>
        <v>通过</v>
      </c>
    </row>
    <row r="149" spans="1:24" s="1" customFormat="1" ht="57">
      <c r="A149" s="4" t="str">
        <f>"8"</f>
        <v>8</v>
      </c>
      <c r="B149" s="4" t="str">
        <f>"杨金忠"</f>
        <v>杨金忠</v>
      </c>
      <c r="C149" s="4" t="str">
        <f>"男        "</f>
        <v>男        </v>
      </c>
      <c r="D149" s="4" t="str">
        <f>"汉族"</f>
        <v>汉族</v>
      </c>
      <c r="E149" s="4" t="str">
        <f>"贵州省望谟县"</f>
        <v>贵州省望谟县</v>
      </c>
      <c r="F149" s="4" t="str">
        <f>"1992年02月"</f>
        <v>1992年02月</v>
      </c>
      <c r="G149" s="4" t="str">
        <f t="shared" si="55"/>
        <v>共青团员</v>
      </c>
      <c r="H149" s="4" t="str">
        <f>"522326199202013219"</f>
        <v>522326199202013219</v>
      </c>
      <c r="I149" s="4" t="str">
        <f>"兴义民族师范学院美术学"</f>
        <v>兴义民族师范学院美术学</v>
      </c>
      <c r="J149" s="4" t="str">
        <f t="shared" si="53"/>
        <v>美术学</v>
      </c>
      <c r="K149" s="4" t="str">
        <f t="shared" si="50"/>
        <v>本科学士</v>
      </c>
      <c r="L149" s="4" t="str">
        <f>"18785921632"</f>
        <v>18785921632</v>
      </c>
      <c r="M149" s="4" t="str">
        <f t="shared" si="44"/>
        <v>隆林县</v>
      </c>
      <c r="N149" s="4" t="str">
        <f>"贵州省望谟县麻山乡牛场村牛场组"</f>
        <v>贵州省望谟县麻山乡牛场村牛场组</v>
      </c>
      <c r="O149" s="4" t="str">
        <f>"1458866934@qq.com"</f>
        <v>1458866934@qq.com</v>
      </c>
      <c r="P149" s="4">
        <f>""</f>
      </c>
      <c r="Q149" s="4" t="str">
        <f>"2017.07.01"</f>
        <v>2017.07.01</v>
      </c>
      <c r="R149" s="4" t="str">
        <f t="shared" si="54"/>
        <v>是</v>
      </c>
      <c r="S149" s="4" t="str">
        <f t="shared" si="51"/>
        <v>4:高级中学</v>
      </c>
      <c r="T149" s="4" t="str">
        <f>"无"</f>
        <v>无</v>
      </c>
      <c r="U149" s="4" t="str">
        <f>"无"</f>
        <v>无</v>
      </c>
      <c r="V149" s="4" t="str">
        <f t="shared" si="45"/>
        <v>初中</v>
      </c>
      <c r="W149" s="4" t="str">
        <f t="shared" si="52"/>
        <v>214:美术</v>
      </c>
      <c r="X149" s="4" t="str">
        <f t="shared" si="46"/>
        <v>通过</v>
      </c>
    </row>
    <row r="150" spans="1:24" s="1" customFormat="1" ht="57">
      <c r="A150" s="4" t="str">
        <f>"9"</f>
        <v>9</v>
      </c>
      <c r="B150" s="4" t="str">
        <f>"杨丽"</f>
        <v>杨丽</v>
      </c>
      <c r="C150" s="4" t="str">
        <f>"女        "</f>
        <v>女        </v>
      </c>
      <c r="D150" s="4" t="str">
        <f>"苗族"</f>
        <v>苗族</v>
      </c>
      <c r="E150" s="4" t="str">
        <f>"贵州贞丰"</f>
        <v>贵州贞丰</v>
      </c>
      <c r="F150" s="4" t="str">
        <f>"1993年04月"</f>
        <v>1993年04月</v>
      </c>
      <c r="G150" s="4" t="str">
        <f t="shared" si="55"/>
        <v>共青团员</v>
      </c>
      <c r="H150" s="4" t="str">
        <f>"522325199304100026"</f>
        <v>522325199304100026</v>
      </c>
      <c r="I150" s="4" t="str">
        <f>"贵州师范大学求是学院美术学"</f>
        <v>贵州师范大学求是学院美术学</v>
      </c>
      <c r="J150" s="4" t="str">
        <f t="shared" si="53"/>
        <v>美术学</v>
      </c>
      <c r="K150" s="4" t="str">
        <f t="shared" si="50"/>
        <v>本科学士</v>
      </c>
      <c r="L150" s="4" t="str">
        <f>"18785115463"</f>
        <v>18785115463</v>
      </c>
      <c r="M150" s="4" t="str">
        <f t="shared" si="44"/>
        <v>隆林县</v>
      </c>
      <c r="N150" s="4" t="str">
        <f>"贵州省贞丰县珉谷镇左旗村一组9号"</f>
        <v>贵州省贞丰县珉谷镇左旗村一组9号</v>
      </c>
      <c r="O150" s="4" t="str">
        <f>"913272175@qq.com"</f>
        <v>913272175@qq.com</v>
      </c>
      <c r="P150" s="4" t="str">
        <f>"2016.07.01"</f>
        <v>2016.07.01</v>
      </c>
      <c r="Q150" s="4" t="str">
        <f>"2016.07.01"</f>
        <v>2016.07.01</v>
      </c>
      <c r="R150" s="4" t="str">
        <f t="shared" si="54"/>
        <v>是</v>
      </c>
      <c r="S150" s="4" t="str">
        <f t="shared" si="51"/>
        <v>4:高级中学</v>
      </c>
      <c r="T150" s="4" t="str">
        <f>"20165210042002897"</f>
        <v>20165210042002897</v>
      </c>
      <c r="U150" s="4" t="str">
        <f>"136521201605000936"</f>
        <v>136521201605000936</v>
      </c>
      <c r="V150" s="4" t="str">
        <f t="shared" si="45"/>
        <v>初中</v>
      </c>
      <c r="W150" s="4" t="str">
        <f t="shared" si="52"/>
        <v>214:美术</v>
      </c>
      <c r="X150" s="4" t="str">
        <f t="shared" si="46"/>
        <v>通过</v>
      </c>
    </row>
    <row r="151" spans="1:24" s="1" customFormat="1" ht="57">
      <c r="A151" s="4" t="str">
        <f>"10"</f>
        <v>10</v>
      </c>
      <c r="B151" s="4" t="str">
        <f>"王艳"</f>
        <v>王艳</v>
      </c>
      <c r="C151" s="4" t="str">
        <f>"女        "</f>
        <v>女        </v>
      </c>
      <c r="D151" s="4" t="str">
        <f>"苗族"</f>
        <v>苗族</v>
      </c>
      <c r="E151" s="4" t="str">
        <f>"贵州省望谟县"</f>
        <v>贵州省望谟县</v>
      </c>
      <c r="F151" s="4" t="str">
        <f>"1992年06月"</f>
        <v>1992年06月</v>
      </c>
      <c r="G151" s="4" t="str">
        <f t="shared" si="55"/>
        <v>共青团员</v>
      </c>
      <c r="H151" s="4" t="str">
        <f>"52232619920624302X"</f>
        <v>52232619920624302X</v>
      </c>
      <c r="I151" s="4" t="str">
        <f>"兴义民族师范学院美术学"</f>
        <v>兴义民族师范学院美术学</v>
      </c>
      <c r="J151" s="4" t="str">
        <f t="shared" si="53"/>
        <v>美术学</v>
      </c>
      <c r="K151" s="4" t="str">
        <f t="shared" si="50"/>
        <v>本科学士</v>
      </c>
      <c r="L151" s="4" t="str">
        <f>"18785904145"</f>
        <v>18785904145</v>
      </c>
      <c r="M151" s="4" t="str">
        <f t="shared" si="44"/>
        <v>隆林县</v>
      </c>
      <c r="N151" s="4" t="str">
        <f>"贵州省望谟县郊纳乡八步村利吉组"</f>
        <v>贵州省望谟县郊纳乡八步村利吉组</v>
      </c>
      <c r="O151" s="4" t="str">
        <f>"279725864@qq.com"</f>
        <v>279725864@qq.com</v>
      </c>
      <c r="P151" s="4">
        <f>""</f>
      </c>
      <c r="Q151" s="4" t="str">
        <f>"2017.06.01"</f>
        <v>2017.06.01</v>
      </c>
      <c r="R151" s="4" t="str">
        <f t="shared" si="54"/>
        <v>是</v>
      </c>
      <c r="S151" s="4" t="str">
        <f t="shared" si="51"/>
        <v>4:高级中学</v>
      </c>
      <c r="T151" s="4" t="str">
        <f>"无"</f>
        <v>无</v>
      </c>
      <c r="U151" s="4" t="str">
        <f>"无"</f>
        <v>无</v>
      </c>
      <c r="V151" s="4" t="str">
        <f t="shared" si="45"/>
        <v>初中</v>
      </c>
      <c r="W151" s="4" t="str">
        <f t="shared" si="52"/>
        <v>214:美术</v>
      </c>
      <c r="X151" s="4" t="str">
        <f t="shared" si="46"/>
        <v>通过</v>
      </c>
    </row>
    <row r="152" spans="1:24" s="1" customFormat="1" ht="71.25">
      <c r="A152" s="4" t="str">
        <f>"11"</f>
        <v>11</v>
      </c>
      <c r="B152" s="4" t="str">
        <f>"岑明啦"</f>
        <v>岑明啦</v>
      </c>
      <c r="C152" s="4" t="str">
        <f>"女        "</f>
        <v>女        </v>
      </c>
      <c r="D152" s="4" t="str">
        <f>"布依族"</f>
        <v>布依族</v>
      </c>
      <c r="E152" s="4" t="str">
        <f>"贵州"</f>
        <v>贵州</v>
      </c>
      <c r="F152" s="4" t="str">
        <f>"1993年07月"</f>
        <v>1993年07月</v>
      </c>
      <c r="G152" s="4" t="str">
        <f t="shared" si="55"/>
        <v>共青团员</v>
      </c>
      <c r="H152" s="4" t="str">
        <f>"522328199307160461"</f>
        <v>522328199307160461</v>
      </c>
      <c r="I152" s="4" t="str">
        <f>"安顺学院美术学"</f>
        <v>安顺学院美术学</v>
      </c>
      <c r="J152" s="4" t="str">
        <f t="shared" si="53"/>
        <v>美术学</v>
      </c>
      <c r="K152" s="4" t="str">
        <f t="shared" si="50"/>
        <v>本科学士</v>
      </c>
      <c r="L152" s="4" t="str">
        <f>"18334110438"</f>
        <v>18334110438</v>
      </c>
      <c r="M152" s="4" t="str">
        <f t="shared" si="44"/>
        <v>隆林县</v>
      </c>
      <c r="N152" s="4" t="str">
        <f>"贵州省安龙县德卧镇灰老村岩脚组"</f>
        <v>贵州省安龙县德卧镇灰老村岩脚组</v>
      </c>
      <c r="O152" s="4" t="str">
        <f>"1256613966@qq.com"</f>
        <v>1256613966@qq.com</v>
      </c>
      <c r="P152" s="4">
        <f>""</f>
      </c>
      <c r="Q152" s="4" t="str">
        <f>"2017.07.01"</f>
        <v>2017.07.01</v>
      </c>
      <c r="R152" s="4" t="str">
        <f t="shared" si="54"/>
        <v>是</v>
      </c>
      <c r="S152" s="4" t="str">
        <f>"0:暂未取得"</f>
        <v>0:暂未取得</v>
      </c>
      <c r="T152" s="4" t="str">
        <f>"2017届毕业生填暂无"</f>
        <v>2017届毕业生填暂无</v>
      </c>
      <c r="U152" s="4" t="str">
        <f>"2017届毕业生填暂无"</f>
        <v>2017届毕业生填暂无</v>
      </c>
      <c r="V152" s="4" t="str">
        <f t="shared" si="45"/>
        <v>初中</v>
      </c>
      <c r="W152" s="4" t="str">
        <f t="shared" si="52"/>
        <v>214:美术</v>
      </c>
      <c r="X152" s="4" t="str">
        <f t="shared" si="46"/>
        <v>通过</v>
      </c>
    </row>
    <row r="153" spans="1:24" s="1" customFormat="1" ht="85.5">
      <c r="A153" s="4" t="str">
        <f>"1"</f>
        <v>1</v>
      </c>
      <c r="B153" s="4" t="str">
        <f>"万海伦"</f>
        <v>万海伦</v>
      </c>
      <c r="C153" s="4" t="str">
        <f>"男        "</f>
        <v>男        </v>
      </c>
      <c r="D153" s="4" t="str">
        <f>"汉族"</f>
        <v>汉族</v>
      </c>
      <c r="E153" s="4" t="str">
        <f>"云南罗平"</f>
        <v>云南罗平</v>
      </c>
      <c r="F153" s="4" t="str">
        <f>"1995年03月"</f>
        <v>1995年03月</v>
      </c>
      <c r="G153" s="4" t="str">
        <f t="shared" si="55"/>
        <v>共青团员</v>
      </c>
      <c r="H153" s="4" t="str">
        <f>"530324199503201157"</f>
        <v>530324199503201157</v>
      </c>
      <c r="I153" s="4" t="str">
        <f>"文山学院计算机科学与技术"</f>
        <v>文山学院计算机科学与技术</v>
      </c>
      <c r="J153" s="4" t="str">
        <f>"计算机科学与技术"</f>
        <v>计算机科学与技术</v>
      </c>
      <c r="K153" s="4" t="str">
        <f t="shared" si="50"/>
        <v>本科学士</v>
      </c>
      <c r="L153" s="4" t="str">
        <f>"15812289328"</f>
        <v>15812289328</v>
      </c>
      <c r="M153" s="4" t="str">
        <f t="shared" si="44"/>
        <v>隆林县</v>
      </c>
      <c r="N153" s="4" t="str">
        <f>"云南省曲靖市罗平县钟山乡狗街居委会大山村67号"</f>
        <v>云南省曲靖市罗平县钟山乡狗街居委会大山村67号</v>
      </c>
      <c r="O153" s="4" t="str">
        <f>"1049079687@qq.com"</f>
        <v>1049079687@qq.com</v>
      </c>
      <c r="P153" s="4" t="str">
        <f>"2016.07.01"</f>
        <v>2016.07.01</v>
      </c>
      <c r="Q153" s="4" t="str">
        <f>"2016.06.01"</f>
        <v>2016.06.01</v>
      </c>
      <c r="R153" s="4" t="str">
        <f>"是"</f>
        <v>是</v>
      </c>
      <c r="S153" s="4" t="str">
        <f>"4:高级中学"</f>
        <v>4:高级中学</v>
      </c>
      <c r="T153" s="4" t="str">
        <f>"20165307341000389"</f>
        <v>20165307341000389</v>
      </c>
      <c r="U153" s="4" t="str">
        <f>"115561201605000404"</f>
        <v>115561201605000404</v>
      </c>
      <c r="V153" s="4" t="str">
        <f t="shared" si="45"/>
        <v>初中</v>
      </c>
      <c r="W153" s="4" t="str">
        <f aca="true" t="shared" si="56" ref="W153:W160">"216:信息技术"</f>
        <v>216:信息技术</v>
      </c>
      <c r="X153" s="4" t="str">
        <f t="shared" si="46"/>
        <v>通过</v>
      </c>
    </row>
    <row r="154" spans="1:24" s="1" customFormat="1" ht="85.5">
      <c r="A154" s="4" t="str">
        <f>"2"</f>
        <v>2</v>
      </c>
      <c r="B154" s="4" t="str">
        <f>"韦立猛"</f>
        <v>韦立猛</v>
      </c>
      <c r="C154" s="4" t="str">
        <f>"男        "</f>
        <v>男        </v>
      </c>
      <c r="D154" s="4" t="str">
        <f>"瑶族"</f>
        <v>瑶族</v>
      </c>
      <c r="E154" s="4" t="str">
        <f>"广西马山"</f>
        <v>广西马山</v>
      </c>
      <c r="F154" s="4" t="str">
        <f>"1993年12月"</f>
        <v>1993年12月</v>
      </c>
      <c r="G154" s="4" t="str">
        <f t="shared" si="55"/>
        <v>共青团员</v>
      </c>
      <c r="H154" s="4" t="str">
        <f>"452127199312052419"</f>
        <v>452127199312052419</v>
      </c>
      <c r="I154" s="4" t="str">
        <f>"百色学院物联网工程"</f>
        <v>百色学院物联网工程</v>
      </c>
      <c r="J154" s="4" t="str">
        <f>"物联网工程"</f>
        <v>物联网工程</v>
      </c>
      <c r="K154" s="4" t="str">
        <f t="shared" si="50"/>
        <v>本科学士</v>
      </c>
      <c r="L154" s="4" t="str">
        <f>"18778697238"</f>
        <v>18778697238</v>
      </c>
      <c r="M154" s="4" t="str">
        <f t="shared" si="44"/>
        <v>隆林县</v>
      </c>
      <c r="N154" s="4" t="str">
        <f>"广西壮族自治区南宁市马山县里当瑶族乡太平村古排屯"</f>
        <v>广西壮族自治区南宁市马山县里当瑶族乡太平村古排屯</v>
      </c>
      <c r="O154" s="4" t="str">
        <f>"1187990258@qq.com"</f>
        <v>1187990258@qq.com</v>
      </c>
      <c r="P154" s="4">
        <f>""</f>
      </c>
      <c r="Q154" s="4" t="str">
        <f>"2017.07.01"</f>
        <v>2017.07.01</v>
      </c>
      <c r="R154" s="4" t="str">
        <f>"不是"</f>
        <v>不是</v>
      </c>
      <c r="S154" s="4" t="str">
        <f>"0:暂未取得"</f>
        <v>0:暂未取得</v>
      </c>
      <c r="T154" s="4" t="str">
        <f>"2017届毕业生填暂无"</f>
        <v>2017届毕业生填暂无</v>
      </c>
      <c r="U154" s="4" t="str">
        <f>"2017届毕业生填暂无"</f>
        <v>2017届毕业生填暂无</v>
      </c>
      <c r="V154" s="4" t="str">
        <f t="shared" si="45"/>
        <v>初中</v>
      </c>
      <c r="W154" s="4" t="str">
        <f t="shared" si="56"/>
        <v>216:信息技术</v>
      </c>
      <c r="X154" s="4" t="str">
        <f t="shared" si="46"/>
        <v>通过</v>
      </c>
    </row>
    <row r="155" spans="1:24" s="1" customFormat="1" ht="71.25">
      <c r="A155" s="4" t="str">
        <f>"3"</f>
        <v>3</v>
      </c>
      <c r="B155" s="4" t="str">
        <f>"段文超"</f>
        <v>段文超</v>
      </c>
      <c r="C155" s="4" t="str">
        <f>"男        "</f>
        <v>男        </v>
      </c>
      <c r="D155" s="4" t="str">
        <f>"汉族"</f>
        <v>汉族</v>
      </c>
      <c r="E155" s="4" t="str">
        <f>"云南省曲靖市"</f>
        <v>云南省曲靖市</v>
      </c>
      <c r="F155" s="4" t="str">
        <f>"1992年11月"</f>
        <v>1992年11月</v>
      </c>
      <c r="G155" s="4" t="str">
        <f t="shared" si="55"/>
        <v>共青团员</v>
      </c>
      <c r="H155" s="4" t="str">
        <f>"530322199211131510"</f>
        <v>530322199211131510</v>
      </c>
      <c r="I155" s="4" t="str">
        <f>"曲靖师范学院教育技术学"</f>
        <v>曲靖师范学院教育技术学</v>
      </c>
      <c r="J155" s="4" t="str">
        <f>"教育技术学"</f>
        <v>教育技术学</v>
      </c>
      <c r="K155" s="4" t="str">
        <f t="shared" si="50"/>
        <v>本科学士</v>
      </c>
      <c r="L155" s="4" t="str">
        <f>"15687406392"</f>
        <v>15687406392</v>
      </c>
      <c r="M155" s="4" t="str">
        <f t="shared" si="44"/>
        <v>隆林县</v>
      </c>
      <c r="N155" s="4" t="str">
        <f>"云南省曲靖市陆良县新台子村委会新台子村"</f>
        <v>云南省曲靖市陆良县新台子村委会新台子村</v>
      </c>
      <c r="O155" s="4" t="str">
        <f>"1173929954@qq.com"</f>
        <v>1173929954@qq.com</v>
      </c>
      <c r="P155" s="4">
        <f>""</f>
      </c>
      <c r="Q155" s="4" t="str">
        <f>"2015.07.01"</f>
        <v>2015.07.01</v>
      </c>
      <c r="R155" s="4" t="str">
        <f>"是"</f>
        <v>是</v>
      </c>
      <c r="S155" s="4" t="str">
        <f>"4:高级中学"</f>
        <v>4:高级中学</v>
      </c>
      <c r="T155" s="4" t="str">
        <f>"20155302841001853"</f>
        <v>20155302841001853</v>
      </c>
      <c r="U155" s="4" t="str">
        <f>"106841201505002"</f>
        <v>106841201505002</v>
      </c>
      <c r="V155" s="4" t="str">
        <f t="shared" si="45"/>
        <v>初中</v>
      </c>
      <c r="W155" s="4" t="str">
        <f t="shared" si="56"/>
        <v>216:信息技术</v>
      </c>
      <c r="X155" s="4" t="str">
        <f t="shared" si="46"/>
        <v>通过</v>
      </c>
    </row>
    <row r="156" spans="1:24" s="1" customFormat="1" ht="71.25">
      <c r="A156" s="4" t="str">
        <f>"4"</f>
        <v>4</v>
      </c>
      <c r="B156" s="4" t="str">
        <f>"李米芬"</f>
        <v>李米芬</v>
      </c>
      <c r="C156" s="4" t="str">
        <f>"女        "</f>
        <v>女        </v>
      </c>
      <c r="D156" s="4" t="str">
        <f>"汉族"</f>
        <v>汉族</v>
      </c>
      <c r="E156" s="4" t="str">
        <f>"云南省昆明市寻甸回族"</f>
        <v>云南省昆明市寻甸回族</v>
      </c>
      <c r="F156" s="4" t="str">
        <f>"1992年05月"</f>
        <v>1992年05月</v>
      </c>
      <c r="G156" s="4" t="str">
        <f t="shared" si="55"/>
        <v>共青团员</v>
      </c>
      <c r="H156" s="4" t="str">
        <f>"530129199205120325"</f>
        <v>530129199205120325</v>
      </c>
      <c r="I156" s="4" t="str">
        <f>"云南省曲靖市曲靖师范学院教育技术学"</f>
        <v>云南省曲靖市曲靖师范学院教育技术学</v>
      </c>
      <c r="J156" s="4" t="str">
        <f>"教育技术学"</f>
        <v>教育技术学</v>
      </c>
      <c r="K156" s="4" t="str">
        <f t="shared" si="50"/>
        <v>本科学士</v>
      </c>
      <c r="L156" s="4" t="str">
        <f>"15877873996"</f>
        <v>15877873996</v>
      </c>
      <c r="M156" s="4" t="str">
        <f t="shared" si="44"/>
        <v>隆林县</v>
      </c>
      <c r="N156" s="4" t="str">
        <f>"云南省昆明市寻甸回族彝族自治县河口镇"</f>
        <v>云南省昆明市寻甸回族彝族自治县河口镇</v>
      </c>
      <c r="O156" s="4" t="str">
        <f>"260356242@qq.com"</f>
        <v>260356242@qq.com</v>
      </c>
      <c r="P156" s="4" t="str">
        <f>"2017.05.01"</f>
        <v>2017.05.01</v>
      </c>
      <c r="Q156" s="4" t="str">
        <f>"2015.07.01"</f>
        <v>2015.07.01</v>
      </c>
      <c r="R156" s="4" t="str">
        <f>"是"</f>
        <v>是</v>
      </c>
      <c r="S156" s="4" t="str">
        <f>"4:高级中学"</f>
        <v>4:高级中学</v>
      </c>
      <c r="T156" s="4" t="str">
        <f>"20155302842001020"</f>
        <v>20155302842001020</v>
      </c>
      <c r="U156" s="4" t="str">
        <f>"106841201505001968"</f>
        <v>106841201505001968</v>
      </c>
      <c r="V156" s="4" t="str">
        <f t="shared" si="45"/>
        <v>初中</v>
      </c>
      <c r="W156" s="4" t="str">
        <f t="shared" si="56"/>
        <v>216:信息技术</v>
      </c>
      <c r="X156" s="4" t="str">
        <f t="shared" si="46"/>
        <v>通过</v>
      </c>
    </row>
    <row r="157" spans="1:24" s="1" customFormat="1" ht="71.25">
      <c r="A157" s="4" t="str">
        <f>"5"</f>
        <v>5</v>
      </c>
      <c r="B157" s="4" t="str">
        <f>"杨柳"</f>
        <v>杨柳</v>
      </c>
      <c r="C157" s="4" t="str">
        <f>"女        "</f>
        <v>女        </v>
      </c>
      <c r="D157" s="4" t="str">
        <f>"汉族"</f>
        <v>汉族</v>
      </c>
      <c r="E157" s="4" t="str">
        <f>"云南富源"</f>
        <v>云南富源</v>
      </c>
      <c r="F157" s="4" t="str">
        <f>"1993年04月"</f>
        <v>1993年04月</v>
      </c>
      <c r="G157" s="4" t="str">
        <f t="shared" si="55"/>
        <v>共青团员</v>
      </c>
      <c r="H157" s="4" t="str">
        <f>"53222519930408072X"</f>
        <v>53222519930408072X</v>
      </c>
      <c r="I157" s="4" t="str">
        <f>"文山学院计算机科学与技术"</f>
        <v>文山学院计算机科学与技术</v>
      </c>
      <c r="J157" s="4" t="str">
        <f>"计算机科学与技术"</f>
        <v>计算机科学与技术</v>
      </c>
      <c r="K157" s="4" t="str">
        <f t="shared" si="50"/>
        <v>本科学士</v>
      </c>
      <c r="L157" s="4" t="str">
        <f>"15758717153"</f>
        <v>15758717153</v>
      </c>
      <c r="M157" s="4" t="str">
        <f t="shared" si="44"/>
        <v>隆林县</v>
      </c>
      <c r="N157" s="4" t="str">
        <f>"云南省曲靖市富源县大河镇黄泥村委会幸福村"</f>
        <v>云南省曲靖市富源县大河镇黄泥村委会幸福村</v>
      </c>
      <c r="O157" s="4" t="str">
        <f>"1328195344@qq.com"</f>
        <v>1328195344@qq.com</v>
      </c>
      <c r="P157" s="4" t="str">
        <f>"2017.05.01"</f>
        <v>2017.05.01</v>
      </c>
      <c r="Q157" s="4" t="str">
        <f>"2017.06.01"</f>
        <v>2017.06.01</v>
      </c>
      <c r="R157" s="4" t="str">
        <f>"是"</f>
        <v>是</v>
      </c>
      <c r="S157" s="4" t="str">
        <f>"4:高级中学"</f>
        <v>4:高级中学</v>
      </c>
      <c r="T157" s="4" t="str">
        <f>"20175307342000593"</f>
        <v>20175307342000593</v>
      </c>
      <c r="U157" s="4" t="str">
        <f>"115561201705001235"</f>
        <v>115561201705001235</v>
      </c>
      <c r="V157" s="4" t="str">
        <f t="shared" si="45"/>
        <v>初中</v>
      </c>
      <c r="W157" s="4" t="str">
        <f t="shared" si="56"/>
        <v>216:信息技术</v>
      </c>
      <c r="X157" s="4" t="str">
        <f t="shared" si="46"/>
        <v>通过</v>
      </c>
    </row>
    <row r="158" spans="1:24" s="1" customFormat="1" ht="71.25">
      <c r="A158" s="4" t="str">
        <f>"6"</f>
        <v>6</v>
      </c>
      <c r="B158" s="4" t="str">
        <f>"蒋凤侦"</f>
        <v>蒋凤侦</v>
      </c>
      <c r="C158" s="4" t="str">
        <f>"女        "</f>
        <v>女        </v>
      </c>
      <c r="D158" s="4" t="str">
        <f>"汉族"</f>
        <v>汉族</v>
      </c>
      <c r="E158" s="4" t="str">
        <f>"广西隆林县"</f>
        <v>广西隆林县</v>
      </c>
      <c r="F158" s="4" t="str">
        <f>"1992年10月"</f>
        <v>1992年10月</v>
      </c>
      <c r="G158" s="4" t="str">
        <f>"中共党员"</f>
        <v>中共党员</v>
      </c>
      <c r="H158" s="4" t="str">
        <f>"452631199210084809"</f>
        <v>452631199210084809</v>
      </c>
      <c r="I158" s="4" t="str">
        <f>"玉林师范学院软件工程"</f>
        <v>玉林师范学院软件工程</v>
      </c>
      <c r="J158" s="4" t="str">
        <f>"软件工程"</f>
        <v>软件工程</v>
      </c>
      <c r="K158" s="4" t="str">
        <f t="shared" si="50"/>
        <v>本科学士</v>
      </c>
      <c r="L158" s="4" t="str">
        <f>"18878554279"</f>
        <v>18878554279</v>
      </c>
      <c r="M158" s="4" t="str">
        <f t="shared" si="44"/>
        <v>隆林县</v>
      </c>
      <c r="N158" s="4" t="str">
        <f>"广西隆林各族自治县介廷乡马窑村龙格闹屯"</f>
        <v>广西隆林各族自治县介廷乡马窑村龙格闹屯</v>
      </c>
      <c r="O158" s="4" t="str">
        <f>"1498809315@qq.com"</f>
        <v>1498809315@qq.com</v>
      </c>
      <c r="P158" s="4">
        <f>""</f>
      </c>
      <c r="Q158" s="4" t="str">
        <f>"2017.06.01"</f>
        <v>2017.06.01</v>
      </c>
      <c r="R158" s="4" t="str">
        <f>"不是"</f>
        <v>不是</v>
      </c>
      <c r="S158" s="4" t="str">
        <f>"4:高级中学"</f>
        <v>4:高级中学</v>
      </c>
      <c r="T158" s="4" t="str">
        <f>"无"</f>
        <v>无</v>
      </c>
      <c r="U158" s="4" t="str">
        <f>"无"</f>
        <v>无</v>
      </c>
      <c r="V158" s="4" t="str">
        <f t="shared" si="45"/>
        <v>初中</v>
      </c>
      <c r="W158" s="4" t="str">
        <f t="shared" si="56"/>
        <v>216:信息技术</v>
      </c>
      <c r="X158" s="4" t="str">
        <f t="shared" si="46"/>
        <v>通过</v>
      </c>
    </row>
    <row r="159" spans="1:24" s="1" customFormat="1" ht="71.25">
      <c r="A159" s="4" t="str">
        <f>"7"</f>
        <v>7</v>
      </c>
      <c r="B159" s="4" t="str">
        <f>"熊亦英"</f>
        <v>熊亦英</v>
      </c>
      <c r="C159" s="4" t="str">
        <f>"女        "</f>
        <v>女        </v>
      </c>
      <c r="D159" s="4" t="str">
        <f>"苗族"</f>
        <v>苗族</v>
      </c>
      <c r="E159" s="4" t="str">
        <f>"广西百色"</f>
        <v>广西百色</v>
      </c>
      <c r="F159" s="4" t="str">
        <f>"1993年10月"</f>
        <v>1993年10月</v>
      </c>
      <c r="G159" s="4" t="str">
        <f>"中共预备党员"</f>
        <v>中共预备党员</v>
      </c>
      <c r="H159" s="4" t="str">
        <f>"452631199310083686"</f>
        <v>452631199310083686</v>
      </c>
      <c r="I159" s="4" t="str">
        <f>"广西师范大学计算机科学与技术"</f>
        <v>广西师范大学计算机科学与技术</v>
      </c>
      <c r="J159" s="4" t="str">
        <f>"计算机科学与技术"</f>
        <v>计算机科学与技术</v>
      </c>
      <c r="K159" s="4" t="str">
        <f t="shared" si="50"/>
        <v>本科学士</v>
      </c>
      <c r="L159" s="4" t="str">
        <f>"15677376552"</f>
        <v>15677376552</v>
      </c>
      <c r="M159" s="4" t="str">
        <f t="shared" si="44"/>
        <v>隆林县</v>
      </c>
      <c r="N159" s="4" t="str">
        <f>"广西隆林各族自治县猪场乡那岩村山神社8号"</f>
        <v>广西隆林各族自治县猪场乡那岩村山神社8号</v>
      </c>
      <c r="O159" s="4" t="str">
        <f>"2863268894@qq.com"</f>
        <v>2863268894@qq.com</v>
      </c>
      <c r="P159" s="4" t="str">
        <f>"2017.02.01"</f>
        <v>2017.02.01</v>
      </c>
      <c r="Q159" s="4" t="str">
        <f>"2017.07.01"</f>
        <v>2017.07.01</v>
      </c>
      <c r="R159" s="4" t="str">
        <f>"是"</f>
        <v>是</v>
      </c>
      <c r="S159" s="4" t="str">
        <f>"5:中等职业学校"</f>
        <v>5:中等职业学校</v>
      </c>
      <c r="T159" s="4" t="str">
        <f>"2017届毕业生填暂无"</f>
        <v>2017届毕业生填暂无</v>
      </c>
      <c r="U159" s="4" t="str">
        <f>"2017届毕业生填暂无"</f>
        <v>2017届毕业生填暂无</v>
      </c>
      <c r="V159" s="4" t="str">
        <f t="shared" si="45"/>
        <v>初中</v>
      </c>
      <c r="W159" s="4" t="str">
        <f t="shared" si="56"/>
        <v>216:信息技术</v>
      </c>
      <c r="X159" s="4" t="str">
        <f t="shared" si="46"/>
        <v>通过</v>
      </c>
    </row>
    <row r="160" spans="1:24" s="1" customFormat="1" ht="57">
      <c r="A160" s="4" t="str">
        <f>"8"</f>
        <v>8</v>
      </c>
      <c r="B160" s="4" t="str">
        <f>"沈提"</f>
        <v>沈提</v>
      </c>
      <c r="C160" s="4" t="str">
        <f>"男        "</f>
        <v>男        </v>
      </c>
      <c r="D160" s="4" t="str">
        <f>"汉族"</f>
        <v>汉族</v>
      </c>
      <c r="E160" s="4" t="str">
        <f>"贵州盘县"</f>
        <v>贵州盘县</v>
      </c>
      <c r="F160" s="4" t="str">
        <f>"1992年09月"</f>
        <v>1992年09月</v>
      </c>
      <c r="G160" s="4" t="str">
        <f>"共青团员"</f>
        <v>共青团员</v>
      </c>
      <c r="H160" s="4" t="str">
        <f>"520202199209177613"</f>
        <v>520202199209177613</v>
      </c>
      <c r="I160" s="4" t="str">
        <f>"兴义民族师范学院信息与计算科学"</f>
        <v>兴义民族师范学院信息与计算科学</v>
      </c>
      <c r="J160" s="4" t="str">
        <f>"信息与计算科学"</f>
        <v>信息与计算科学</v>
      </c>
      <c r="K160" s="4" t="str">
        <f>"本科无学位"</f>
        <v>本科无学位</v>
      </c>
      <c r="L160" s="4" t="str">
        <f>"15121599261"</f>
        <v>15121599261</v>
      </c>
      <c r="M160" s="4" t="str">
        <f t="shared" si="44"/>
        <v>隆林县</v>
      </c>
      <c r="N160" s="4" t="str">
        <f>"贵州省盘县马依镇补嘎村六组"</f>
        <v>贵州省盘县马依镇补嘎村六组</v>
      </c>
      <c r="O160" s="4" t="str">
        <f>"359007570@qq.com"</f>
        <v>359007570@qq.com</v>
      </c>
      <c r="P160" s="4">
        <f>""</f>
      </c>
      <c r="Q160" s="4" t="str">
        <f>"2016.07.01"</f>
        <v>2016.07.01</v>
      </c>
      <c r="R160" s="4" t="str">
        <f>"是"</f>
        <v>是</v>
      </c>
      <c r="S160" s="4" t="str">
        <f>"3:初级中学"</f>
        <v>3:初级中学</v>
      </c>
      <c r="T160" s="4" t="str">
        <f>"暂无（正在办理中）"</f>
        <v>暂无（正在办理中）</v>
      </c>
      <c r="U160" s="4" t="str">
        <f>"106661201605001132"</f>
        <v>106661201605001132</v>
      </c>
      <c r="V160" s="4" t="str">
        <f t="shared" si="45"/>
        <v>初中</v>
      </c>
      <c r="W160" s="4" t="str">
        <f t="shared" si="56"/>
        <v>216:信息技术</v>
      </c>
      <c r="X160" s="4" t="str">
        <f t="shared" si="46"/>
        <v>通过</v>
      </c>
    </row>
    <row r="161" spans="1:24" s="1" customFormat="1" ht="85.5">
      <c r="A161" s="4" t="str">
        <f>"1"</f>
        <v>1</v>
      </c>
      <c r="B161" s="4" t="str">
        <f>"马家媛"</f>
        <v>马家媛</v>
      </c>
      <c r="C161" s="4" t="str">
        <f>"女        "</f>
        <v>女        </v>
      </c>
      <c r="D161" s="4" t="str">
        <f>"汉族"</f>
        <v>汉族</v>
      </c>
      <c r="E161" s="4" t="str">
        <f>"云南砚山"</f>
        <v>云南砚山</v>
      </c>
      <c r="F161" s="4" t="str">
        <f>"1993年02月"</f>
        <v>1993年02月</v>
      </c>
      <c r="G161" s="4" t="str">
        <f aca="true" t="shared" si="57" ref="G161:G167">"共青团员"</f>
        <v>共青团员</v>
      </c>
      <c r="H161" s="4" t="str">
        <f>"532622199302100021"</f>
        <v>532622199302100021</v>
      </c>
      <c r="I161" s="4" t="str">
        <f>"文山学院思想政治教育"</f>
        <v>文山学院思想政治教育</v>
      </c>
      <c r="J161" s="4" t="str">
        <f>"思想政治教育"</f>
        <v>思想政治教育</v>
      </c>
      <c r="K161" s="4" t="str">
        <f aca="true" t="shared" si="58" ref="K161:K180">"本科学士"</f>
        <v>本科学士</v>
      </c>
      <c r="L161" s="4" t="str">
        <f>"14769223405"</f>
        <v>14769223405</v>
      </c>
      <c r="M161" s="4" t="str">
        <f t="shared" si="44"/>
        <v>隆林县</v>
      </c>
      <c r="N161" s="4" t="str">
        <f>"云南省文山壮族民族自治州砚山县江那镇胜利街45号"</f>
        <v>云南省文山壮族民族自治州砚山县江那镇胜利街45号</v>
      </c>
      <c r="O161" s="4" t="str">
        <f>"1069481324@qq.com"</f>
        <v>1069481324@qq.com</v>
      </c>
      <c r="P161" s="4" t="str">
        <f>"2016.08.01"</f>
        <v>2016.08.01</v>
      </c>
      <c r="Q161" s="4" t="str">
        <f>"2016.06.01"</f>
        <v>2016.06.01</v>
      </c>
      <c r="R161" s="4" t="str">
        <f>"是"</f>
        <v>是</v>
      </c>
      <c r="S161" s="4" t="str">
        <f aca="true" t="shared" si="59" ref="S161:S169">"4:高级中学"</f>
        <v>4:高级中学</v>
      </c>
      <c r="T161" s="4" t="str">
        <f>"20165307342000127"</f>
        <v>20165307342000127</v>
      </c>
      <c r="U161" s="4" t="str">
        <f>"115561201605000543"</f>
        <v>115561201605000543</v>
      </c>
      <c r="V161" s="4" t="str">
        <f t="shared" si="45"/>
        <v>初中</v>
      </c>
      <c r="W161" s="4" t="str">
        <f aca="true" t="shared" si="60" ref="W161:W180">"299:政治"</f>
        <v>299:政治</v>
      </c>
      <c r="X161" s="4" t="str">
        <f t="shared" si="46"/>
        <v>通过</v>
      </c>
    </row>
    <row r="162" spans="1:24" s="1" customFormat="1" ht="71.25">
      <c r="A162" s="4" t="str">
        <f>"2"</f>
        <v>2</v>
      </c>
      <c r="B162" s="4" t="str">
        <f>"罗娜"</f>
        <v>罗娜</v>
      </c>
      <c r="C162" s="4" t="str">
        <f>"女        "</f>
        <v>女        </v>
      </c>
      <c r="D162" s="4" t="str">
        <f>"汉族"</f>
        <v>汉族</v>
      </c>
      <c r="E162" s="4" t="str">
        <f>"广西陆川"</f>
        <v>广西陆川</v>
      </c>
      <c r="F162" s="4" t="str">
        <f>"1991年07月"</f>
        <v>1991年07月</v>
      </c>
      <c r="G162" s="4" t="str">
        <f t="shared" si="57"/>
        <v>共青团员</v>
      </c>
      <c r="H162" s="4" t="str">
        <f>"450922199107232541"</f>
        <v>450922199107232541</v>
      </c>
      <c r="I162" s="4" t="str">
        <f>"河池学院思想政治教育"</f>
        <v>河池学院思想政治教育</v>
      </c>
      <c r="J162" s="4" t="str">
        <f>"思想政治教育"</f>
        <v>思想政治教育</v>
      </c>
      <c r="K162" s="4" t="str">
        <f t="shared" si="58"/>
        <v>本科学士</v>
      </c>
      <c r="L162" s="4" t="str">
        <f>"15677891214"</f>
        <v>15677891214</v>
      </c>
      <c r="M162" s="4" t="str">
        <f t="shared" si="44"/>
        <v>隆林县</v>
      </c>
      <c r="N162" s="4" t="str">
        <f>"广西玉林市陆川县乌石镇龙华村十四队"</f>
        <v>广西玉林市陆川县乌石镇龙华村十四队</v>
      </c>
      <c r="O162" s="4" t="str">
        <f>"2583129804@qq.com"</f>
        <v>2583129804@qq.com</v>
      </c>
      <c r="P162" s="4" t="str">
        <f>"2015.08.01"</f>
        <v>2015.08.01</v>
      </c>
      <c r="Q162" s="4" t="str">
        <f>"2015.06.01"</f>
        <v>2015.06.01</v>
      </c>
      <c r="R162" s="4" t="str">
        <f>"是"</f>
        <v>是</v>
      </c>
      <c r="S162" s="4" t="str">
        <f t="shared" si="59"/>
        <v>4:高级中学</v>
      </c>
      <c r="T162" s="4" t="str">
        <f>"20154590042000753"</f>
        <v>20154590042000753</v>
      </c>
      <c r="U162" s="4" t="str">
        <f>"106051201505000481"</f>
        <v>106051201505000481</v>
      </c>
      <c r="V162" s="4" t="str">
        <f t="shared" si="45"/>
        <v>初中</v>
      </c>
      <c r="W162" s="4" t="str">
        <f t="shared" si="60"/>
        <v>299:政治</v>
      </c>
      <c r="X162" s="4" t="str">
        <f t="shared" si="46"/>
        <v>通过</v>
      </c>
    </row>
    <row r="163" spans="1:24" s="1" customFormat="1" ht="85.5">
      <c r="A163" s="4" t="str">
        <f>"3"</f>
        <v>3</v>
      </c>
      <c r="B163" s="4" t="str">
        <f>"王志明"</f>
        <v>王志明</v>
      </c>
      <c r="C163" s="4" t="str">
        <f>"男        "</f>
        <v>男        </v>
      </c>
      <c r="D163" s="4" t="str">
        <f>"苗族"</f>
        <v>苗族</v>
      </c>
      <c r="E163" s="4" t="str">
        <f>"广西隆林县"</f>
        <v>广西隆林县</v>
      </c>
      <c r="F163" s="4" t="str">
        <f>"1994年09月"</f>
        <v>1994年09月</v>
      </c>
      <c r="G163" s="4" t="str">
        <f t="shared" si="57"/>
        <v>共青团员</v>
      </c>
      <c r="H163" s="4" t="str">
        <f>"452631199409164814"</f>
        <v>452631199409164814</v>
      </c>
      <c r="I163" s="4" t="str">
        <f>"广西民族大学法学"</f>
        <v>广西民族大学法学</v>
      </c>
      <c r="J163" s="4" t="str">
        <f>"法学"</f>
        <v>法学</v>
      </c>
      <c r="K163" s="4" t="str">
        <f t="shared" si="58"/>
        <v>本科学士</v>
      </c>
      <c r="L163" s="4" t="str">
        <f>"15697714989"</f>
        <v>15697714989</v>
      </c>
      <c r="M163" s="4" t="str">
        <f t="shared" si="44"/>
        <v>隆林县</v>
      </c>
      <c r="N163" s="4" t="str">
        <f>"广西百色市隆林各族自治县介廷乡介廷村平林屯"</f>
        <v>广西百色市隆林各族自治县介廷乡介廷村平林屯</v>
      </c>
      <c r="O163" s="4" t="str">
        <f>"2587000915@qq.com"</f>
        <v>2587000915@qq.com</v>
      </c>
      <c r="P163" s="4">
        <f>""</f>
      </c>
      <c r="Q163" s="4" t="str">
        <f>"2017.07.01"</f>
        <v>2017.07.01</v>
      </c>
      <c r="R163" s="4" t="str">
        <f>"不是"</f>
        <v>不是</v>
      </c>
      <c r="S163" s="4" t="str">
        <f t="shared" si="59"/>
        <v>4:高级中学</v>
      </c>
      <c r="T163" s="4" t="str">
        <f>"2017届毕业生填暂无"</f>
        <v>2017届毕业生填暂无</v>
      </c>
      <c r="U163" s="4" t="str">
        <f>"2017届毕业生填暂无"</f>
        <v>2017届毕业生填暂无</v>
      </c>
      <c r="V163" s="4" t="str">
        <f t="shared" si="45"/>
        <v>初中</v>
      </c>
      <c r="W163" s="4" t="str">
        <f t="shared" si="60"/>
        <v>299:政治</v>
      </c>
      <c r="X163" s="4" t="str">
        <f t="shared" si="46"/>
        <v>通过</v>
      </c>
    </row>
    <row r="164" spans="1:24" s="1" customFormat="1" ht="71.25">
      <c r="A164" s="4" t="str">
        <f>"4"</f>
        <v>4</v>
      </c>
      <c r="B164" s="4" t="str">
        <f>"李相超"</f>
        <v>李相超</v>
      </c>
      <c r="C164" s="4" t="str">
        <f>"女        "</f>
        <v>女        </v>
      </c>
      <c r="D164" s="4" t="str">
        <f>"汉族"</f>
        <v>汉族</v>
      </c>
      <c r="E164" s="4" t="str">
        <f>"云南盐津"</f>
        <v>云南盐津</v>
      </c>
      <c r="F164" s="4" t="str">
        <f>"1993年03月"</f>
        <v>1993年03月</v>
      </c>
      <c r="G164" s="4" t="str">
        <f t="shared" si="57"/>
        <v>共青团员</v>
      </c>
      <c r="H164" s="4" t="str">
        <f>"532124199303090545"</f>
        <v>532124199303090545</v>
      </c>
      <c r="I164" s="4" t="str">
        <f>"文山学院思想政治教育"</f>
        <v>文山学院思想政治教育</v>
      </c>
      <c r="J164" s="4" t="str">
        <f aca="true" t="shared" si="61" ref="J164:J169">"思想政治教育"</f>
        <v>思想政治教育</v>
      </c>
      <c r="K164" s="4" t="str">
        <f t="shared" si="58"/>
        <v>本科学士</v>
      </c>
      <c r="L164" s="4" t="str">
        <f>"18388766061"</f>
        <v>18388766061</v>
      </c>
      <c r="M164" s="4" t="str">
        <f t="shared" si="44"/>
        <v>隆林县</v>
      </c>
      <c r="N164" s="4" t="str">
        <f>"云南省昭通市盐津县盐井镇椒子村沙子坝48号"</f>
        <v>云南省昭通市盐津县盐井镇椒子村沙子坝48号</v>
      </c>
      <c r="O164" s="4" t="str">
        <f>"1336325372@qq.com"</f>
        <v>1336325372@qq.com</v>
      </c>
      <c r="P164" s="4" t="str">
        <f>"2017.02.01"</f>
        <v>2017.02.01</v>
      </c>
      <c r="Q164" s="4" t="str">
        <f>"2016.07.01"</f>
        <v>2016.07.01</v>
      </c>
      <c r="R164" s="4" t="str">
        <f aca="true" t="shared" si="62" ref="R164:R169">"是"</f>
        <v>是</v>
      </c>
      <c r="S164" s="4" t="str">
        <f t="shared" si="59"/>
        <v>4:高级中学</v>
      </c>
      <c r="T164" s="4" t="str">
        <f>"20165307342000105"</f>
        <v>20165307342000105</v>
      </c>
      <c r="U164" s="4" t="str">
        <f>"115561201605000668"</f>
        <v>115561201605000668</v>
      </c>
      <c r="V164" s="4" t="str">
        <f t="shared" si="45"/>
        <v>初中</v>
      </c>
      <c r="W164" s="4" t="str">
        <f t="shared" si="60"/>
        <v>299:政治</v>
      </c>
      <c r="X164" s="4" t="str">
        <f t="shared" si="46"/>
        <v>通过</v>
      </c>
    </row>
    <row r="165" spans="1:24" s="1" customFormat="1" ht="71.25">
      <c r="A165" s="4" t="str">
        <f>"5"</f>
        <v>5</v>
      </c>
      <c r="B165" s="4" t="str">
        <f>"吴东琴"</f>
        <v>吴东琴</v>
      </c>
      <c r="C165" s="4" t="str">
        <f>"女        "</f>
        <v>女        </v>
      </c>
      <c r="D165" s="4" t="str">
        <f>"汉族"</f>
        <v>汉族</v>
      </c>
      <c r="E165" s="4" t="str">
        <f>"云南省曲靖市"</f>
        <v>云南省曲靖市</v>
      </c>
      <c r="F165" s="4" t="str">
        <f>"1994年01月"</f>
        <v>1994年01月</v>
      </c>
      <c r="G165" s="4" t="str">
        <f t="shared" si="57"/>
        <v>共青团员</v>
      </c>
      <c r="H165" s="4" t="str">
        <f>"530323199401160722"</f>
        <v>530323199401160722</v>
      </c>
      <c r="I165" s="4" t="str">
        <f>"楚雄师范学院思想政治教育"</f>
        <v>楚雄师范学院思想政治教育</v>
      </c>
      <c r="J165" s="4" t="str">
        <f t="shared" si="61"/>
        <v>思想政治教育</v>
      </c>
      <c r="K165" s="4" t="str">
        <f t="shared" si="58"/>
        <v>本科学士</v>
      </c>
      <c r="L165" s="4" t="str">
        <f>"15758501026"</f>
        <v>15758501026</v>
      </c>
      <c r="M165" s="4" t="str">
        <f t="shared" si="44"/>
        <v>隆林县</v>
      </c>
      <c r="N165" s="4" t="str">
        <f>"云南省曲靖市师宗县竹基镇界桥村委会笼嘎村"</f>
        <v>云南省曲靖市师宗县竹基镇界桥村委会笼嘎村</v>
      </c>
      <c r="O165" s="4" t="str">
        <f>"1486667184@qq.com"</f>
        <v>1486667184@qq.com</v>
      </c>
      <c r="P165" s="4">
        <f>""</f>
      </c>
      <c r="Q165" s="4" t="str">
        <f>"2017.07.01"</f>
        <v>2017.07.01</v>
      </c>
      <c r="R165" s="4" t="str">
        <f t="shared" si="62"/>
        <v>是</v>
      </c>
      <c r="S165" s="4" t="str">
        <f t="shared" si="59"/>
        <v>4:高级中学</v>
      </c>
      <c r="T165" s="4" t="str">
        <f>"2017届毕业生填暂无"</f>
        <v>2017届毕业生填暂无</v>
      </c>
      <c r="U165" s="4" t="str">
        <f>"2017届毕业生填暂无"</f>
        <v>2017届毕业生填暂无</v>
      </c>
      <c r="V165" s="4" t="str">
        <f t="shared" si="45"/>
        <v>初中</v>
      </c>
      <c r="W165" s="4" t="str">
        <f t="shared" si="60"/>
        <v>299:政治</v>
      </c>
      <c r="X165" s="4" t="str">
        <f t="shared" si="46"/>
        <v>通过</v>
      </c>
    </row>
    <row r="166" spans="1:24" s="1" customFormat="1" ht="85.5">
      <c r="A166" s="4" t="str">
        <f>"6"</f>
        <v>6</v>
      </c>
      <c r="B166" s="4" t="str">
        <f>"杨权"</f>
        <v>杨权</v>
      </c>
      <c r="C166" s="4" t="str">
        <f>"男        "</f>
        <v>男        </v>
      </c>
      <c r="D166" s="4" t="str">
        <f>"汉族"</f>
        <v>汉族</v>
      </c>
      <c r="E166" s="4" t="str">
        <f>"云南省沾益县"</f>
        <v>云南省沾益县</v>
      </c>
      <c r="F166" s="4" t="str">
        <f>"1992年10月"</f>
        <v>1992年10月</v>
      </c>
      <c r="G166" s="4" t="str">
        <f t="shared" si="57"/>
        <v>共青团员</v>
      </c>
      <c r="H166" s="4" t="str">
        <f>"530328199210092159"</f>
        <v>530328199210092159</v>
      </c>
      <c r="I166" s="4" t="str">
        <f>"文山学院思想政治教育"</f>
        <v>文山学院思想政治教育</v>
      </c>
      <c r="J166" s="4" t="str">
        <f t="shared" si="61"/>
        <v>思想政治教育</v>
      </c>
      <c r="K166" s="4" t="str">
        <f t="shared" si="58"/>
        <v>本科学士</v>
      </c>
      <c r="L166" s="4" t="str">
        <f>"18849800170"</f>
        <v>18849800170</v>
      </c>
      <c r="M166" s="4" t="str">
        <f t="shared" si="44"/>
        <v>隆林县</v>
      </c>
      <c r="N166" s="4" t="str">
        <f>"云南省曲靖市沾益县炎方乡磨嘎村委会小村子村19号"</f>
        <v>云南省曲靖市沾益县炎方乡磨嘎村委会小村子村19号</v>
      </c>
      <c r="O166" s="4" t="str">
        <f>"1056445686@qq.com"</f>
        <v>1056445686@qq.com</v>
      </c>
      <c r="P166" s="4">
        <f>""</f>
      </c>
      <c r="Q166" s="4" t="str">
        <f>"2017.07.01"</f>
        <v>2017.07.01</v>
      </c>
      <c r="R166" s="4" t="str">
        <f t="shared" si="62"/>
        <v>是</v>
      </c>
      <c r="S166" s="4" t="str">
        <f t="shared" si="59"/>
        <v>4:高级中学</v>
      </c>
      <c r="T166" s="4" t="str">
        <f>"暂无"</f>
        <v>暂无</v>
      </c>
      <c r="U166" s="4" t="str">
        <f>"暂无"</f>
        <v>暂无</v>
      </c>
      <c r="V166" s="4" t="str">
        <f t="shared" si="45"/>
        <v>初中</v>
      </c>
      <c r="W166" s="4" t="str">
        <f t="shared" si="60"/>
        <v>299:政治</v>
      </c>
      <c r="X166" s="4" t="str">
        <f t="shared" si="46"/>
        <v>通过</v>
      </c>
    </row>
    <row r="167" spans="1:24" s="1" customFormat="1" ht="71.25">
      <c r="A167" s="4" t="str">
        <f>"7"</f>
        <v>7</v>
      </c>
      <c r="B167" s="4" t="str">
        <f>"韦朝旭"</f>
        <v>韦朝旭</v>
      </c>
      <c r="C167" s="4" t="str">
        <f>"男        "</f>
        <v>男        </v>
      </c>
      <c r="D167" s="4" t="str">
        <f>"壮族"</f>
        <v>壮族</v>
      </c>
      <c r="E167" s="4" t="str">
        <f>"广西隆林"</f>
        <v>广西隆林</v>
      </c>
      <c r="F167" s="4" t="str">
        <f>"1990年10月"</f>
        <v>1990年10月</v>
      </c>
      <c r="G167" s="4" t="str">
        <f t="shared" si="57"/>
        <v>共青团员</v>
      </c>
      <c r="H167" s="4" t="str">
        <f>"452631199010091799"</f>
        <v>452631199010091799</v>
      </c>
      <c r="I167" s="4" t="str">
        <f>"丽水学院思想政治教育"</f>
        <v>丽水学院思想政治教育</v>
      </c>
      <c r="J167" s="4" t="str">
        <f t="shared" si="61"/>
        <v>思想政治教育</v>
      </c>
      <c r="K167" s="4" t="str">
        <f t="shared" si="58"/>
        <v>本科学士</v>
      </c>
      <c r="L167" s="4" t="str">
        <f>"18378667798"</f>
        <v>18378667798</v>
      </c>
      <c r="M167" s="4" t="str">
        <f t="shared" si="44"/>
        <v>隆林县</v>
      </c>
      <c r="N167" s="4" t="str">
        <f>"广西省百色市隆林县者保乡那平村那洒屯"</f>
        <v>广西省百色市隆林县者保乡那平村那洒屯</v>
      </c>
      <c r="O167" s="4" t="str">
        <f>"584303393@qq.com"</f>
        <v>584303393@qq.com</v>
      </c>
      <c r="P167" s="4" t="str">
        <f>"2015.07.01"</f>
        <v>2015.07.01</v>
      </c>
      <c r="Q167" s="4" t="str">
        <f>"2015.07.01"</f>
        <v>2015.07.01</v>
      </c>
      <c r="R167" s="4" t="str">
        <f t="shared" si="62"/>
        <v>是</v>
      </c>
      <c r="S167" s="4" t="str">
        <f t="shared" si="59"/>
        <v>4:高级中学</v>
      </c>
      <c r="T167" s="4" t="str">
        <f>"20164580041001253"</f>
        <v>20164580041001253</v>
      </c>
      <c r="U167" s="4" t="str">
        <f>"103521201505001123"</f>
        <v>103521201505001123</v>
      </c>
      <c r="V167" s="4" t="str">
        <f t="shared" si="45"/>
        <v>初中</v>
      </c>
      <c r="W167" s="4" t="str">
        <f t="shared" si="60"/>
        <v>299:政治</v>
      </c>
      <c r="X167" s="4" t="str">
        <f t="shared" si="46"/>
        <v>通过</v>
      </c>
    </row>
    <row r="168" spans="1:24" s="1" customFormat="1" ht="57">
      <c r="A168" s="4" t="str">
        <f>"8"</f>
        <v>8</v>
      </c>
      <c r="B168" s="4" t="str">
        <f>"梁玉飞"</f>
        <v>梁玉飞</v>
      </c>
      <c r="C168" s="4" t="str">
        <f>"男        "</f>
        <v>男        </v>
      </c>
      <c r="D168" s="4" t="str">
        <f>"汉族"</f>
        <v>汉族</v>
      </c>
      <c r="E168" s="4" t="str">
        <f>"贵州兴义"</f>
        <v>贵州兴义</v>
      </c>
      <c r="F168" s="4" t="str">
        <f>"1990年04月"</f>
        <v>1990年04月</v>
      </c>
      <c r="G168" s="4" t="str">
        <f>"群众"</f>
        <v>群众</v>
      </c>
      <c r="H168" s="4" t="str">
        <f>"522321199004206114"</f>
        <v>522321199004206114</v>
      </c>
      <c r="I168" s="4" t="str">
        <f>"肇庆学院思想政治教育"</f>
        <v>肇庆学院思想政治教育</v>
      </c>
      <c r="J168" s="4" t="str">
        <f t="shared" si="61"/>
        <v>思想政治教育</v>
      </c>
      <c r="K168" s="4" t="str">
        <f t="shared" si="58"/>
        <v>本科学士</v>
      </c>
      <c r="L168" s="4" t="str">
        <f>"17208665498"</f>
        <v>17208665498</v>
      </c>
      <c r="M168" s="4" t="str">
        <f t="shared" si="44"/>
        <v>隆林县</v>
      </c>
      <c r="N168" s="4" t="str">
        <f>"贵州省兴义市捧乍镇偏坡村九组18号"</f>
        <v>贵州省兴义市捧乍镇偏坡村九组18号</v>
      </c>
      <c r="O168" s="4" t="str">
        <f>"1174094261@qq.com"</f>
        <v>1174094261@qq.com</v>
      </c>
      <c r="P168" s="4" t="str">
        <f>"2016.09.01"</f>
        <v>2016.09.01</v>
      </c>
      <c r="Q168" s="4" t="str">
        <f>"2016.07.01"</f>
        <v>2016.07.01</v>
      </c>
      <c r="R168" s="4" t="str">
        <f t="shared" si="62"/>
        <v>是</v>
      </c>
      <c r="S168" s="4" t="str">
        <f t="shared" si="59"/>
        <v>4:高级中学</v>
      </c>
      <c r="T168" s="4" t="str">
        <f>"20164407741001647"</f>
        <v>20164407741001647</v>
      </c>
      <c r="U168" s="4" t="str">
        <f>"105801201605000578"</f>
        <v>105801201605000578</v>
      </c>
      <c r="V168" s="4" t="str">
        <f t="shared" si="45"/>
        <v>初中</v>
      </c>
      <c r="W168" s="4" t="str">
        <f t="shared" si="60"/>
        <v>299:政治</v>
      </c>
      <c r="X168" s="4" t="str">
        <f t="shared" si="46"/>
        <v>通过</v>
      </c>
    </row>
    <row r="169" spans="1:24" s="1" customFormat="1" ht="57">
      <c r="A169" s="4" t="str">
        <f>"9"</f>
        <v>9</v>
      </c>
      <c r="B169" s="4" t="str">
        <f>"查启市"</f>
        <v>查启市</v>
      </c>
      <c r="C169" s="4" t="str">
        <f>"女        "</f>
        <v>女        </v>
      </c>
      <c r="D169" s="4" t="str">
        <f>"布依族"</f>
        <v>布依族</v>
      </c>
      <c r="E169" s="4" t="str">
        <f>"贵州安龙"</f>
        <v>贵州安龙</v>
      </c>
      <c r="F169" s="4" t="str">
        <f>"1994年10月"</f>
        <v>1994年10月</v>
      </c>
      <c r="G169" s="4" t="str">
        <f>"共青团员"</f>
        <v>共青团员</v>
      </c>
      <c r="H169" s="4" t="str">
        <f>"52232819941002082X"</f>
        <v>52232819941002082X</v>
      </c>
      <c r="I169" s="4" t="str">
        <f>"贵州师范学院思想政治教育"</f>
        <v>贵州师范学院思想政治教育</v>
      </c>
      <c r="J169" s="4" t="str">
        <f t="shared" si="61"/>
        <v>思想政治教育</v>
      </c>
      <c r="K169" s="4" t="str">
        <f t="shared" si="58"/>
        <v>本科学士</v>
      </c>
      <c r="L169" s="4" t="str">
        <f>"13984349172"</f>
        <v>13984349172</v>
      </c>
      <c r="M169" s="4" t="str">
        <f t="shared" si="44"/>
        <v>隆林县</v>
      </c>
      <c r="N169" s="4" t="str">
        <f>"贵州省安龙县龙广镇纳桃村三组72号"</f>
        <v>贵州省安龙县龙广镇纳桃村三组72号</v>
      </c>
      <c r="O169" s="4" t="str">
        <f>"841200313@qq.com"</f>
        <v>841200313@qq.com</v>
      </c>
      <c r="P169" s="4">
        <f>""</f>
      </c>
      <c r="Q169" s="4" t="str">
        <f>"2017.07.01"</f>
        <v>2017.07.01</v>
      </c>
      <c r="R169" s="4" t="str">
        <f t="shared" si="62"/>
        <v>是</v>
      </c>
      <c r="S169" s="4" t="str">
        <f t="shared" si="59"/>
        <v>4:高级中学</v>
      </c>
      <c r="T169" s="4" t="str">
        <f aca="true" t="shared" si="63" ref="T169:U171">"暂无"</f>
        <v>暂无</v>
      </c>
      <c r="U169" s="4" t="str">
        <f t="shared" si="63"/>
        <v>暂无</v>
      </c>
      <c r="V169" s="4" t="str">
        <f t="shared" si="45"/>
        <v>初中</v>
      </c>
      <c r="W169" s="4" t="str">
        <f t="shared" si="60"/>
        <v>299:政治</v>
      </c>
      <c r="X169" s="4" t="str">
        <f t="shared" si="46"/>
        <v>通过</v>
      </c>
    </row>
    <row r="170" spans="1:24" s="1" customFormat="1" ht="85.5">
      <c r="A170" s="4" t="str">
        <f>"10"</f>
        <v>10</v>
      </c>
      <c r="B170" s="4" t="str">
        <f>"杨坤鹏"</f>
        <v>杨坤鹏</v>
      </c>
      <c r="C170" s="4" t="str">
        <f>"男        "</f>
        <v>男        </v>
      </c>
      <c r="D170" s="4" t="str">
        <f>"苗族"</f>
        <v>苗族</v>
      </c>
      <c r="E170" s="4" t="str">
        <f>"广西隆林各族自治县"</f>
        <v>广西隆林各族自治县</v>
      </c>
      <c r="F170" s="4" t="str">
        <f>"1996年01月"</f>
        <v>1996年01月</v>
      </c>
      <c r="G170" s="4" t="str">
        <f>"中共党员"</f>
        <v>中共党员</v>
      </c>
      <c r="H170" s="4" t="str">
        <f>"452631199601134391"</f>
        <v>452631199601134391</v>
      </c>
      <c r="I170" s="4" t="str">
        <f>"广西师范大学法学"</f>
        <v>广西师范大学法学</v>
      </c>
      <c r="J170" s="4" t="str">
        <f>"法学"</f>
        <v>法学</v>
      </c>
      <c r="K170" s="4" t="str">
        <f t="shared" si="58"/>
        <v>本科学士</v>
      </c>
      <c r="L170" s="4" t="str">
        <f>"17707763477"</f>
        <v>17707763477</v>
      </c>
      <c r="M170" s="4" t="str">
        <f t="shared" si="44"/>
        <v>隆林县</v>
      </c>
      <c r="N170" s="4" t="str">
        <f>"广西隆林各族自治县克长乡后寨村达修屯020号"</f>
        <v>广西隆林各族自治县克长乡后寨村达修屯020号</v>
      </c>
      <c r="O170" s="4" t="str">
        <f>"1215638699@qq.com"</f>
        <v>1215638699@qq.com</v>
      </c>
      <c r="P170" s="4">
        <f>""</f>
      </c>
      <c r="Q170" s="4" t="str">
        <f>"2017.07.01"</f>
        <v>2017.07.01</v>
      </c>
      <c r="R170" s="4" t="str">
        <f>"不是"</f>
        <v>不是</v>
      </c>
      <c r="S170" s="4" t="str">
        <f>"0:暂未取得"</f>
        <v>0:暂未取得</v>
      </c>
      <c r="T170" s="4" t="str">
        <f t="shared" si="63"/>
        <v>暂无</v>
      </c>
      <c r="U170" s="4" t="str">
        <f t="shared" si="63"/>
        <v>暂无</v>
      </c>
      <c r="V170" s="4" t="str">
        <f t="shared" si="45"/>
        <v>初中</v>
      </c>
      <c r="W170" s="4" t="str">
        <f t="shared" si="60"/>
        <v>299:政治</v>
      </c>
      <c r="X170" s="4" t="str">
        <f t="shared" si="46"/>
        <v>通过</v>
      </c>
    </row>
    <row r="171" spans="1:24" s="1" customFormat="1" ht="71.25">
      <c r="A171" s="4" t="str">
        <f>"11"</f>
        <v>11</v>
      </c>
      <c r="B171" s="4" t="str">
        <f>"卢星霞"</f>
        <v>卢星霞</v>
      </c>
      <c r="C171" s="4" t="str">
        <f>"女        "</f>
        <v>女        </v>
      </c>
      <c r="D171" s="4" t="str">
        <f aca="true" t="shared" si="64" ref="D171:D176">"汉族"</f>
        <v>汉族</v>
      </c>
      <c r="E171" s="4" t="str">
        <f>"贵州兴仁"</f>
        <v>贵州兴仁</v>
      </c>
      <c r="F171" s="4" t="str">
        <f>"1993年04月"</f>
        <v>1993年04月</v>
      </c>
      <c r="G171" s="4" t="str">
        <f aca="true" t="shared" si="65" ref="G171:G176">"共青团员"</f>
        <v>共青团员</v>
      </c>
      <c r="H171" s="4" t="str">
        <f>"522322199304280427"</f>
        <v>522322199304280427</v>
      </c>
      <c r="I171" s="4" t="str">
        <f>"贵州师范学院思想政治教育"</f>
        <v>贵州师范学院思想政治教育</v>
      </c>
      <c r="J171" s="4" t="str">
        <f>"思想政治教育"</f>
        <v>思想政治教育</v>
      </c>
      <c r="K171" s="4" t="str">
        <f t="shared" si="58"/>
        <v>本科学士</v>
      </c>
      <c r="L171" s="4" t="str">
        <f>"15761684023"</f>
        <v>15761684023</v>
      </c>
      <c r="M171" s="4" t="str">
        <f t="shared" si="44"/>
        <v>隆林县</v>
      </c>
      <c r="N171" s="4" t="str">
        <f>"贵州省兴仁县巴铃镇兴寨村下兴寨组77号"</f>
        <v>贵州省兴仁县巴铃镇兴寨村下兴寨组77号</v>
      </c>
      <c r="O171" s="4" t="str">
        <f>"862423791@qq.com"</f>
        <v>862423791@qq.com</v>
      </c>
      <c r="P171" s="4">
        <f>""</f>
      </c>
      <c r="Q171" s="4" t="str">
        <f>"2017.07.01"</f>
        <v>2017.07.01</v>
      </c>
      <c r="R171" s="4" t="str">
        <f>"是"</f>
        <v>是</v>
      </c>
      <c r="S171" s="4" t="str">
        <f aca="true" t="shared" si="66" ref="S171:S177">"4:高级中学"</f>
        <v>4:高级中学</v>
      </c>
      <c r="T171" s="4" t="str">
        <f t="shared" si="63"/>
        <v>暂无</v>
      </c>
      <c r="U171" s="4" t="str">
        <f t="shared" si="63"/>
        <v>暂无</v>
      </c>
      <c r="V171" s="4" t="str">
        <f t="shared" si="45"/>
        <v>初中</v>
      </c>
      <c r="W171" s="4" t="str">
        <f t="shared" si="60"/>
        <v>299:政治</v>
      </c>
      <c r="X171" s="4" t="str">
        <f t="shared" si="46"/>
        <v>通过</v>
      </c>
    </row>
    <row r="172" spans="1:24" s="1" customFormat="1" ht="57">
      <c r="A172" s="4" t="str">
        <f>"12"</f>
        <v>12</v>
      </c>
      <c r="B172" s="4" t="str">
        <f>"石元顺"</f>
        <v>石元顺</v>
      </c>
      <c r="C172" s="4" t="str">
        <f>"女        "</f>
        <v>女        </v>
      </c>
      <c r="D172" s="4" t="str">
        <f t="shared" si="64"/>
        <v>汉族</v>
      </c>
      <c r="E172" s="4" t="str">
        <f>"贵州贞丰"</f>
        <v>贵州贞丰</v>
      </c>
      <c r="F172" s="4" t="str">
        <f>"1991年10月"</f>
        <v>1991年10月</v>
      </c>
      <c r="G172" s="4" t="str">
        <f t="shared" si="65"/>
        <v>共青团员</v>
      </c>
      <c r="H172" s="4" t="str">
        <f>"52232519911001164X"</f>
        <v>52232519911001164X</v>
      </c>
      <c r="I172" s="4" t="str">
        <f>"南通大学思想政治教育"</f>
        <v>南通大学思想政治教育</v>
      </c>
      <c r="J172" s="4" t="str">
        <f>"思想政治教育"</f>
        <v>思想政治教育</v>
      </c>
      <c r="K172" s="4" t="str">
        <f t="shared" si="58"/>
        <v>本科学士</v>
      </c>
      <c r="L172" s="4" t="str">
        <f>"18748812599"</f>
        <v>18748812599</v>
      </c>
      <c r="M172" s="4" t="str">
        <f t="shared" si="44"/>
        <v>隆林县</v>
      </c>
      <c r="N172" s="4" t="str">
        <f>"贵州省贞丰县龙场镇坪坝村岩脚组"</f>
        <v>贵州省贞丰县龙场镇坪坝村岩脚组</v>
      </c>
      <c r="O172" s="4" t="str">
        <f>"282770141@qq.com"</f>
        <v>282770141@qq.com</v>
      </c>
      <c r="P172" s="4" t="str">
        <f>"2015.09.01"</f>
        <v>2015.09.01</v>
      </c>
      <c r="Q172" s="4" t="str">
        <f>"2015.07.01"</f>
        <v>2015.07.01</v>
      </c>
      <c r="R172" s="4" t="str">
        <f>"是"</f>
        <v>是</v>
      </c>
      <c r="S172" s="4" t="str">
        <f t="shared" si="66"/>
        <v>4:高级中学</v>
      </c>
      <c r="T172" s="4" t="str">
        <f>"20153228642000562"</f>
        <v>20153228642000562</v>
      </c>
      <c r="U172" s="4" t="str">
        <f>"103041201505005675"</f>
        <v>103041201505005675</v>
      </c>
      <c r="V172" s="4" t="str">
        <f t="shared" si="45"/>
        <v>初中</v>
      </c>
      <c r="W172" s="4" t="str">
        <f t="shared" si="60"/>
        <v>299:政治</v>
      </c>
      <c r="X172" s="4" t="str">
        <f t="shared" si="46"/>
        <v>通过</v>
      </c>
    </row>
    <row r="173" spans="1:24" s="1" customFormat="1" ht="57">
      <c r="A173" s="4" t="str">
        <f>"13"</f>
        <v>13</v>
      </c>
      <c r="B173" s="4" t="str">
        <f>"叶品江"</f>
        <v>叶品江</v>
      </c>
      <c r="C173" s="4" t="str">
        <f>"男        "</f>
        <v>男        </v>
      </c>
      <c r="D173" s="4" t="str">
        <f t="shared" si="64"/>
        <v>汉族</v>
      </c>
      <c r="E173" s="4" t="str">
        <f>"贵州省兴仁县"</f>
        <v>贵州省兴仁县</v>
      </c>
      <c r="F173" s="4" t="str">
        <f>"1989年05月"</f>
        <v>1989年05月</v>
      </c>
      <c r="G173" s="4" t="str">
        <f t="shared" si="65"/>
        <v>共青团员</v>
      </c>
      <c r="H173" s="4" t="str">
        <f>"522322198905031237"</f>
        <v>522322198905031237</v>
      </c>
      <c r="I173" s="4" t="str">
        <f>"凯里学院思想政治教育"</f>
        <v>凯里学院思想政治教育</v>
      </c>
      <c r="J173" s="4" t="str">
        <f>"思想政治教育"</f>
        <v>思想政治教育</v>
      </c>
      <c r="K173" s="4" t="str">
        <f t="shared" si="58"/>
        <v>本科学士</v>
      </c>
      <c r="L173" s="4" t="str">
        <f>"18386400489"</f>
        <v>18386400489</v>
      </c>
      <c r="M173" s="4" t="str">
        <f t="shared" si="44"/>
        <v>隆林县</v>
      </c>
      <c r="N173" s="4" t="str">
        <f>"贵州省兴仁县百德镇百屯村六组32号"</f>
        <v>贵州省兴仁县百德镇百屯村六组32号</v>
      </c>
      <c r="O173" s="4" t="str">
        <f>"576807283@qq.com"</f>
        <v>576807283@qq.com</v>
      </c>
      <c r="P173" s="4" t="str">
        <f>"2014.07.01"</f>
        <v>2014.07.01</v>
      </c>
      <c r="Q173" s="4" t="str">
        <f>"2014.07.01"</f>
        <v>2014.07.01</v>
      </c>
      <c r="R173" s="4" t="str">
        <f>"是"</f>
        <v>是</v>
      </c>
      <c r="S173" s="4" t="str">
        <f t="shared" si="66"/>
        <v>4:高级中学</v>
      </c>
      <c r="T173" s="4" t="str">
        <f>"20145280041000028"</f>
        <v>20145280041000028</v>
      </c>
      <c r="U173" s="4" t="str">
        <f>"106691201405000360"</f>
        <v>106691201405000360</v>
      </c>
      <c r="V173" s="4" t="str">
        <f t="shared" si="45"/>
        <v>初中</v>
      </c>
      <c r="W173" s="4" t="str">
        <f t="shared" si="60"/>
        <v>299:政治</v>
      </c>
      <c r="X173" s="4" t="str">
        <f t="shared" si="46"/>
        <v>通过</v>
      </c>
    </row>
    <row r="174" spans="1:24" s="1" customFormat="1" ht="57">
      <c r="A174" s="4" t="str">
        <f>"14"</f>
        <v>14</v>
      </c>
      <c r="B174" s="4" t="str">
        <f>"马红玲"</f>
        <v>马红玲</v>
      </c>
      <c r="C174" s="4" t="str">
        <f>"女        "</f>
        <v>女        </v>
      </c>
      <c r="D174" s="4" t="str">
        <f t="shared" si="64"/>
        <v>汉族</v>
      </c>
      <c r="E174" s="4" t="str">
        <f>"云南昆明"</f>
        <v>云南昆明</v>
      </c>
      <c r="F174" s="4" t="str">
        <f>"1992年02月"</f>
        <v>1992年02月</v>
      </c>
      <c r="G174" s="4" t="str">
        <f t="shared" si="65"/>
        <v>共青团员</v>
      </c>
      <c r="H174" s="4" t="str">
        <f>"53012719920208272X"</f>
        <v>53012719920208272X</v>
      </c>
      <c r="I174" s="4" t="str">
        <f>"红河学院国际政治"</f>
        <v>红河学院国际政治</v>
      </c>
      <c r="J174" s="4" t="str">
        <f>"国际政治"</f>
        <v>国际政治</v>
      </c>
      <c r="K174" s="4" t="str">
        <f t="shared" si="58"/>
        <v>本科学士</v>
      </c>
      <c r="L174" s="4" t="str">
        <f>"15812099630"</f>
        <v>15812099630</v>
      </c>
      <c r="M174" s="4" t="str">
        <f t="shared" si="44"/>
        <v>隆林县</v>
      </c>
      <c r="N174" s="4" t="str">
        <f>"云南省昆明市嵩明县牛栏江镇四营村"</f>
        <v>云南省昆明市嵩明县牛栏江镇四营村</v>
      </c>
      <c r="O174" s="4" t="str">
        <f>"614896186@qq.com"</f>
        <v>614896186@qq.com</v>
      </c>
      <c r="P174" s="4" t="str">
        <f>"2017.05.01"</f>
        <v>2017.05.01</v>
      </c>
      <c r="Q174" s="4" t="str">
        <f>"2016.07.01"</f>
        <v>2016.07.01</v>
      </c>
      <c r="R174" s="4" t="str">
        <f>"不是"</f>
        <v>不是</v>
      </c>
      <c r="S174" s="4" t="str">
        <f t="shared" si="66"/>
        <v>4:高级中学</v>
      </c>
      <c r="T174" s="4" t="str">
        <f>"20165305942000101"</f>
        <v>20165305942000101</v>
      </c>
      <c r="U174" s="4" t="str">
        <f>"106871201605001423"</f>
        <v>106871201605001423</v>
      </c>
      <c r="V174" s="4" t="str">
        <f t="shared" si="45"/>
        <v>初中</v>
      </c>
      <c r="W174" s="4" t="str">
        <f t="shared" si="60"/>
        <v>299:政治</v>
      </c>
      <c r="X174" s="4" t="str">
        <f t="shared" si="46"/>
        <v>通过</v>
      </c>
    </row>
    <row r="175" spans="1:24" s="1" customFormat="1" ht="85.5">
      <c r="A175" s="4" t="str">
        <f>"15"</f>
        <v>15</v>
      </c>
      <c r="B175" s="4" t="str">
        <f>"黄琼"</f>
        <v>黄琼</v>
      </c>
      <c r="C175" s="4" t="str">
        <f>"女        "</f>
        <v>女        </v>
      </c>
      <c r="D175" s="4" t="str">
        <f t="shared" si="64"/>
        <v>汉族</v>
      </c>
      <c r="E175" s="4" t="str">
        <f>"云南曲靖"</f>
        <v>云南曲靖</v>
      </c>
      <c r="F175" s="4" t="str">
        <f>"1992年08月"</f>
        <v>1992年08月</v>
      </c>
      <c r="G175" s="4" t="str">
        <f t="shared" si="65"/>
        <v>共青团员</v>
      </c>
      <c r="H175" s="4" t="str">
        <f>"530325199208290026"</f>
        <v>530325199208290026</v>
      </c>
      <c r="I175" s="4" t="str">
        <f>"楚雄师范学院思想政治教育"</f>
        <v>楚雄师范学院思想政治教育</v>
      </c>
      <c r="J175" s="4" t="str">
        <f>"思想政治教育"</f>
        <v>思想政治教育</v>
      </c>
      <c r="K175" s="4" t="str">
        <f t="shared" si="58"/>
        <v>本科学士</v>
      </c>
      <c r="L175" s="4" t="str">
        <f>"18387883170"</f>
        <v>18387883170</v>
      </c>
      <c r="M175" s="4" t="str">
        <f t="shared" si="44"/>
        <v>隆林县</v>
      </c>
      <c r="N175" s="4" t="str">
        <f>"云南省曲靖市富源县中安镇清溪社区白坟山村89号"</f>
        <v>云南省曲靖市富源县中安镇清溪社区白坟山村89号</v>
      </c>
      <c r="O175" s="4" t="str">
        <f>"1510630955@qq.com"</f>
        <v>1510630955@qq.com</v>
      </c>
      <c r="P175" s="4">
        <f>""</f>
      </c>
      <c r="Q175" s="4" t="str">
        <f>"2016.07.01"</f>
        <v>2016.07.01</v>
      </c>
      <c r="R175" s="4" t="str">
        <f>"是"</f>
        <v>是</v>
      </c>
      <c r="S175" s="4" t="str">
        <f t="shared" si="66"/>
        <v>4:高级中学</v>
      </c>
      <c r="T175" s="4" t="str">
        <f>"20165303842000043"</f>
        <v>20165303842000043</v>
      </c>
      <c r="U175" s="4" t="str">
        <f>"113911201605001918"</f>
        <v>113911201605001918</v>
      </c>
      <c r="V175" s="4" t="str">
        <f t="shared" si="45"/>
        <v>初中</v>
      </c>
      <c r="W175" s="4" t="str">
        <f t="shared" si="60"/>
        <v>299:政治</v>
      </c>
      <c r="X175" s="4" t="str">
        <f t="shared" si="46"/>
        <v>通过</v>
      </c>
    </row>
    <row r="176" spans="1:24" s="1" customFormat="1" ht="71.25">
      <c r="A176" s="4" t="str">
        <f>"16"</f>
        <v>16</v>
      </c>
      <c r="B176" s="4" t="str">
        <f>"何丙浪"</f>
        <v>何丙浪</v>
      </c>
      <c r="C176" s="4" t="str">
        <f>"男        "</f>
        <v>男        </v>
      </c>
      <c r="D176" s="4" t="str">
        <f t="shared" si="64"/>
        <v>汉族</v>
      </c>
      <c r="E176" s="4" t="str">
        <f>"云南省富源县"</f>
        <v>云南省富源县</v>
      </c>
      <c r="F176" s="4" t="str">
        <f>"1993年03月"</f>
        <v>1993年03月</v>
      </c>
      <c r="G176" s="4" t="str">
        <f t="shared" si="65"/>
        <v>共青团员</v>
      </c>
      <c r="H176" s="4" t="str">
        <f>"530325199303051314"</f>
        <v>530325199303051314</v>
      </c>
      <c r="I176" s="4" t="str">
        <f>"红河学院思想政治教育"</f>
        <v>红河学院思想政治教育</v>
      </c>
      <c r="J176" s="4" t="str">
        <f>"思想政治教育"</f>
        <v>思想政治教育</v>
      </c>
      <c r="K176" s="4" t="str">
        <f t="shared" si="58"/>
        <v>本科学士</v>
      </c>
      <c r="L176" s="4" t="str">
        <f>"18589333501"</f>
        <v>18589333501</v>
      </c>
      <c r="M176" s="4" t="str">
        <f t="shared" si="44"/>
        <v>隆林县</v>
      </c>
      <c r="N176" s="4" t="str">
        <f>"云南省曲靖市富源县富村镇团山村委会坡上村"</f>
        <v>云南省曲靖市富源县富村镇团山村委会坡上村</v>
      </c>
      <c r="O176" s="4" t="str">
        <f>"1392137775@qq.com"</f>
        <v>1392137775@qq.com</v>
      </c>
      <c r="P176" s="4">
        <f>""</f>
      </c>
      <c r="Q176" s="4" t="str">
        <f>"2016.07.01"</f>
        <v>2016.07.01</v>
      </c>
      <c r="R176" s="4" t="str">
        <f>"是"</f>
        <v>是</v>
      </c>
      <c r="S176" s="4" t="str">
        <f t="shared" si="66"/>
        <v>4:高级中学</v>
      </c>
      <c r="T176" s="4" t="str">
        <f>"20165305941000285"</f>
        <v>20165305941000285</v>
      </c>
      <c r="U176" s="4" t="str">
        <f>"106871201605000536"</f>
        <v>106871201605000536</v>
      </c>
      <c r="V176" s="4" t="str">
        <f t="shared" si="45"/>
        <v>初中</v>
      </c>
      <c r="W176" s="4" t="str">
        <f t="shared" si="60"/>
        <v>299:政治</v>
      </c>
      <c r="X176" s="4" t="str">
        <f t="shared" si="46"/>
        <v>通过</v>
      </c>
    </row>
    <row r="177" spans="1:24" s="1" customFormat="1" ht="85.5">
      <c r="A177" s="4" t="str">
        <f>"17"</f>
        <v>17</v>
      </c>
      <c r="B177" s="4" t="str">
        <f>"普典"</f>
        <v>普典</v>
      </c>
      <c r="C177" s="4" t="str">
        <f>"男        "</f>
        <v>男        </v>
      </c>
      <c r="D177" s="4" t="str">
        <f>"彝族"</f>
        <v>彝族</v>
      </c>
      <c r="E177" s="4" t="str">
        <f>"云南双柏"</f>
        <v>云南双柏</v>
      </c>
      <c r="F177" s="4" t="str">
        <f>"1993年03月"</f>
        <v>1993年03月</v>
      </c>
      <c r="G177" s="4" t="str">
        <f>"中共党员"</f>
        <v>中共党员</v>
      </c>
      <c r="H177" s="4" t="str">
        <f>"532322199303010734"</f>
        <v>532322199303010734</v>
      </c>
      <c r="I177" s="4" t="str">
        <f>"楚雄师范学院思想政治教育"</f>
        <v>楚雄师范学院思想政治教育</v>
      </c>
      <c r="J177" s="4" t="str">
        <f>"思想政治教育"</f>
        <v>思想政治教育</v>
      </c>
      <c r="K177" s="4" t="str">
        <f t="shared" si="58"/>
        <v>本科学士</v>
      </c>
      <c r="L177" s="4" t="str">
        <f>"15758540531"</f>
        <v>15758540531</v>
      </c>
      <c r="M177" s="4" t="str">
        <f t="shared" si="44"/>
        <v>隆林县</v>
      </c>
      <c r="N177" s="4" t="str">
        <f>"云南省楚雄州双柏县法脿镇石头村委会杨仕村36号"</f>
        <v>云南省楚雄州双柏县法脿镇石头村委会杨仕村36号</v>
      </c>
      <c r="O177" s="4" t="str">
        <f>"798526379@qq.com"</f>
        <v>798526379@qq.com</v>
      </c>
      <c r="P177" s="4">
        <f>""</f>
      </c>
      <c r="Q177" s="4" t="str">
        <f>"2017.07.01"</f>
        <v>2017.07.01</v>
      </c>
      <c r="R177" s="4" t="str">
        <f>"是"</f>
        <v>是</v>
      </c>
      <c r="S177" s="4" t="str">
        <f t="shared" si="66"/>
        <v>4:高级中学</v>
      </c>
      <c r="T177" s="4" t="str">
        <f>"2017届毕业生填暂无"</f>
        <v>2017届毕业生填暂无</v>
      </c>
      <c r="U177" s="4" t="str">
        <f>"2017届毕业生填暂无"</f>
        <v>2017届毕业生填暂无</v>
      </c>
      <c r="V177" s="4" t="str">
        <f t="shared" si="45"/>
        <v>初中</v>
      </c>
      <c r="W177" s="4" t="str">
        <f t="shared" si="60"/>
        <v>299:政治</v>
      </c>
      <c r="X177" s="4" t="str">
        <f t="shared" si="46"/>
        <v>通过</v>
      </c>
    </row>
    <row r="178" spans="1:24" s="1" customFormat="1" ht="71.25">
      <c r="A178" s="4" t="str">
        <f>"18"</f>
        <v>18</v>
      </c>
      <c r="B178" s="4" t="str">
        <f>"王大千"</f>
        <v>王大千</v>
      </c>
      <c r="C178" s="4" t="str">
        <f>"女        "</f>
        <v>女        </v>
      </c>
      <c r="D178" s="4" t="str">
        <f>"布依族"</f>
        <v>布依族</v>
      </c>
      <c r="E178" s="4" t="str">
        <f>"贵州省"</f>
        <v>贵州省</v>
      </c>
      <c r="F178" s="4" t="str">
        <f>"1993年06月"</f>
        <v>1993年06月</v>
      </c>
      <c r="G178" s="4" t="str">
        <f>"共青团员"</f>
        <v>共青团员</v>
      </c>
      <c r="H178" s="4" t="str">
        <f>"52232819930616126X"</f>
        <v>52232819930616126X</v>
      </c>
      <c r="I178" s="4" t="str">
        <f>"贵州师范学院旅游管理"</f>
        <v>贵州师范学院旅游管理</v>
      </c>
      <c r="J178" s="4" t="str">
        <f>"旅游管理"</f>
        <v>旅游管理</v>
      </c>
      <c r="K178" s="4" t="str">
        <f t="shared" si="58"/>
        <v>本科学士</v>
      </c>
      <c r="L178" s="4" t="str">
        <f>"18798765421"</f>
        <v>18798765421</v>
      </c>
      <c r="M178" s="4" t="str">
        <f t="shared" si="44"/>
        <v>隆林县</v>
      </c>
      <c r="N178" s="4" t="str">
        <f>"贵州省安龙县栖凤街道办事处者跃村十组"</f>
        <v>贵州省安龙县栖凤街道办事处者跃村十组</v>
      </c>
      <c r="O178" s="4" t="str">
        <f>"1072815749@qq.com"</f>
        <v>1072815749@qq.com</v>
      </c>
      <c r="P178" s="4">
        <f>""</f>
      </c>
      <c r="Q178" s="4" t="str">
        <f>"2017.07.01"</f>
        <v>2017.07.01</v>
      </c>
      <c r="R178" s="4" t="str">
        <f>"不是"</f>
        <v>不是</v>
      </c>
      <c r="S178" s="4" t="str">
        <f>"3:初级中学"</f>
        <v>3:初级中学</v>
      </c>
      <c r="T178" s="4" t="str">
        <f>"20175210432000256"</f>
        <v>20175210432000256</v>
      </c>
      <c r="U178" s="4" t="str">
        <f>"142231201705003030"</f>
        <v>142231201705003030</v>
      </c>
      <c r="V178" s="4" t="str">
        <f t="shared" si="45"/>
        <v>初中</v>
      </c>
      <c r="W178" s="4" t="str">
        <f t="shared" si="60"/>
        <v>299:政治</v>
      </c>
      <c r="X178" s="4" t="str">
        <f t="shared" si="46"/>
        <v>通过</v>
      </c>
    </row>
    <row r="179" spans="1:24" s="1" customFormat="1" ht="57">
      <c r="A179" s="4" t="str">
        <f>"19"</f>
        <v>19</v>
      </c>
      <c r="B179" s="4" t="str">
        <f>"徐凯"</f>
        <v>徐凯</v>
      </c>
      <c r="C179" s="4" t="str">
        <f>"男        "</f>
        <v>男        </v>
      </c>
      <c r="D179" s="4" t="str">
        <f>"汉族"</f>
        <v>汉族</v>
      </c>
      <c r="E179" s="4" t="str">
        <f>"贵州盘县"</f>
        <v>贵州盘县</v>
      </c>
      <c r="F179" s="4" t="str">
        <f>"1992年10月"</f>
        <v>1992年10月</v>
      </c>
      <c r="G179" s="4" t="str">
        <f>"中共预备党员"</f>
        <v>中共预备党员</v>
      </c>
      <c r="H179" s="4" t="str">
        <f>"520202199210292010"</f>
        <v>520202199210292010</v>
      </c>
      <c r="I179" s="4" t="str">
        <f>"兴义民族师范学院思想政治教育"</f>
        <v>兴义民族师范学院思想政治教育</v>
      </c>
      <c r="J179" s="4" t="str">
        <f>"思想政治教育"</f>
        <v>思想政治教育</v>
      </c>
      <c r="K179" s="4" t="str">
        <f t="shared" si="58"/>
        <v>本科学士</v>
      </c>
      <c r="L179" s="4" t="str">
        <f>"18785938390"</f>
        <v>18785938390</v>
      </c>
      <c r="M179" s="4" t="str">
        <f t="shared" si="44"/>
        <v>隆林县</v>
      </c>
      <c r="N179" s="4" t="str">
        <f>"贵州省盘县保田镇马甲村一组"</f>
        <v>贵州省盘县保田镇马甲村一组</v>
      </c>
      <c r="O179" s="4" t="str">
        <f>"1421344571@qq.com"</f>
        <v>1421344571@qq.com</v>
      </c>
      <c r="P179" s="4">
        <f>""</f>
      </c>
      <c r="Q179" s="4" t="str">
        <f>"2017.07.01"</f>
        <v>2017.07.01</v>
      </c>
      <c r="R179" s="4" t="str">
        <f aca="true" t="shared" si="67" ref="R179:R184">"是"</f>
        <v>是</v>
      </c>
      <c r="S179" s="4" t="str">
        <f>"4:高级中学"</f>
        <v>4:高级中学</v>
      </c>
      <c r="T179" s="4" t="str">
        <f>"2017届毕业生填暂无"</f>
        <v>2017届毕业生填暂无</v>
      </c>
      <c r="U179" s="4" t="str">
        <f>"106661201705001624"</f>
        <v>106661201705001624</v>
      </c>
      <c r="V179" s="4" t="str">
        <f t="shared" si="45"/>
        <v>初中</v>
      </c>
      <c r="W179" s="4" t="str">
        <f t="shared" si="60"/>
        <v>299:政治</v>
      </c>
      <c r="X179" s="4" t="str">
        <f t="shared" si="46"/>
        <v>通过</v>
      </c>
    </row>
    <row r="180" spans="1:24" s="1" customFormat="1" ht="57">
      <c r="A180" s="4" t="str">
        <f>"20"</f>
        <v>20</v>
      </c>
      <c r="B180" s="4" t="str">
        <f>"王如松"</f>
        <v>王如松</v>
      </c>
      <c r="C180" s="4" t="str">
        <f>"男        "</f>
        <v>男        </v>
      </c>
      <c r="D180" s="4" t="str">
        <f>"布依族"</f>
        <v>布依族</v>
      </c>
      <c r="E180" s="4" t="str">
        <f>"贵州兴仁"</f>
        <v>贵州兴仁</v>
      </c>
      <c r="F180" s="4" t="str">
        <f>"1989年07月"</f>
        <v>1989年07月</v>
      </c>
      <c r="G180" s="4" t="str">
        <f>"共青团员"</f>
        <v>共青团员</v>
      </c>
      <c r="H180" s="4" t="str">
        <f>"522322198907021614"</f>
        <v>522322198907021614</v>
      </c>
      <c r="I180" s="4" t="str">
        <f>"六盘水师范学院思想政治教育"</f>
        <v>六盘水师范学院思想政治教育</v>
      </c>
      <c r="J180" s="4" t="str">
        <f>"思想政治教育"</f>
        <v>思想政治教育</v>
      </c>
      <c r="K180" s="4" t="str">
        <f t="shared" si="58"/>
        <v>本科学士</v>
      </c>
      <c r="L180" s="4" t="str">
        <f>"18286881086"</f>
        <v>18286881086</v>
      </c>
      <c r="M180" s="4" t="str">
        <f t="shared" si="44"/>
        <v>隆林县</v>
      </c>
      <c r="N180" s="4" t="str">
        <f>"贵州省兴仁县"</f>
        <v>贵州省兴仁县</v>
      </c>
      <c r="O180" s="4" t="str">
        <f>"912271210@qq.com"</f>
        <v>912271210@qq.com</v>
      </c>
      <c r="P180" s="4">
        <f>""</f>
      </c>
      <c r="Q180" s="4" t="str">
        <f>"2015.07.01"</f>
        <v>2015.07.01</v>
      </c>
      <c r="R180" s="4" t="str">
        <f t="shared" si="67"/>
        <v>是</v>
      </c>
      <c r="S180" s="4" t="str">
        <f>"4:高级中学"</f>
        <v>4:高级中学</v>
      </c>
      <c r="T180" s="4" t="str">
        <f>"20155260041000050"</f>
        <v>20155260041000050</v>
      </c>
      <c r="U180" s="4" t="str">
        <f>"109771201505000627"</f>
        <v>109771201505000627</v>
      </c>
      <c r="V180" s="4" t="str">
        <f t="shared" si="45"/>
        <v>初中</v>
      </c>
      <c r="W180" s="4" t="str">
        <f t="shared" si="60"/>
        <v>299:政治</v>
      </c>
      <c r="X180" s="4" t="str">
        <f t="shared" si="46"/>
        <v>通过</v>
      </c>
    </row>
    <row r="181" spans="1:24" s="1" customFormat="1" ht="99.75">
      <c r="A181" s="4" t="str">
        <f>"1"</f>
        <v>1</v>
      </c>
      <c r="B181" s="4" t="str">
        <f>"黄孝娥"</f>
        <v>黄孝娥</v>
      </c>
      <c r="C181" s="4" t="str">
        <f aca="true" t="shared" si="68" ref="C181:C186">"女        "</f>
        <v>女        </v>
      </c>
      <c r="D181" s="4" t="str">
        <f>"汉族"</f>
        <v>汉族</v>
      </c>
      <c r="E181" s="4" t="str">
        <f>"云南麻栗坡"</f>
        <v>云南麻栗坡</v>
      </c>
      <c r="F181" s="4" t="str">
        <f>"1992年07月"</f>
        <v>1992年07月</v>
      </c>
      <c r="G181" s="4" t="str">
        <f>"中共党员"</f>
        <v>中共党员</v>
      </c>
      <c r="H181" s="4" t="str">
        <f>"532624199207100544"</f>
        <v>532624199207100544</v>
      </c>
      <c r="I181" s="4" t="str">
        <f>"文山学院应用越南语"</f>
        <v>文山学院应用越南语</v>
      </c>
      <c r="J181" s="4" t="str">
        <f>"应用越南语"</f>
        <v>应用越南语</v>
      </c>
      <c r="K181" s="4" t="str">
        <f aca="true" t="shared" si="69" ref="K181:K190">"专科无学位"</f>
        <v>专科无学位</v>
      </c>
      <c r="L181" s="4" t="str">
        <f>"15908762476"</f>
        <v>15908762476</v>
      </c>
      <c r="M181" s="4" t="str">
        <f t="shared" si="44"/>
        <v>隆林县</v>
      </c>
      <c r="N181" s="4" t="str">
        <f>"云南省文山州麻栗坡县大坪镇新地房村委会东瓜树村33号"</f>
        <v>云南省文山州麻栗坡县大坪镇新地房村委会东瓜树村33号</v>
      </c>
      <c r="O181" s="4" t="str">
        <f>"1229194429@qq.com"</f>
        <v>1229194429@qq.com</v>
      </c>
      <c r="P181" s="4" t="str">
        <f>"2015.09.01"</f>
        <v>2015.09.01</v>
      </c>
      <c r="Q181" s="4" t="str">
        <f>"2015.06.01"</f>
        <v>2015.06.01</v>
      </c>
      <c r="R181" s="4" t="str">
        <f t="shared" si="67"/>
        <v>是</v>
      </c>
      <c r="S181" s="4" t="str">
        <f>"2:小学"</f>
        <v>2:小学</v>
      </c>
      <c r="T181" s="4" t="str">
        <f>"20155307422000062"</f>
        <v>20155307422000062</v>
      </c>
      <c r="U181" s="4" t="str">
        <f>"115561201506000199"</f>
        <v>115561201506000199</v>
      </c>
      <c r="V181" s="4" t="str">
        <f aca="true" t="shared" si="70" ref="V181:V244">"小学"</f>
        <v>小学</v>
      </c>
      <c r="W181" s="4" t="str">
        <f aca="true" t="shared" si="71" ref="W181:W244">"102:语文"</f>
        <v>102:语文</v>
      </c>
      <c r="X181" s="4" t="str">
        <f t="shared" si="46"/>
        <v>通过</v>
      </c>
    </row>
    <row r="182" spans="1:24" s="1" customFormat="1" ht="57">
      <c r="A182" s="4" t="str">
        <f>"2"</f>
        <v>2</v>
      </c>
      <c r="B182" s="4" t="str">
        <f>"陈羲"</f>
        <v>陈羲</v>
      </c>
      <c r="C182" s="4" t="str">
        <f t="shared" si="68"/>
        <v>女        </v>
      </c>
      <c r="D182" s="4" t="str">
        <f>"汉族"</f>
        <v>汉族</v>
      </c>
      <c r="E182" s="4" t="str">
        <f>"云南曲靖"</f>
        <v>云南曲靖</v>
      </c>
      <c r="F182" s="4" t="str">
        <f>"1991年10月"</f>
        <v>1991年10月</v>
      </c>
      <c r="G182" s="4" t="str">
        <f>"共青团员"</f>
        <v>共青团员</v>
      </c>
      <c r="H182" s="4" t="str">
        <f>"530302199110101261"</f>
        <v>530302199110101261</v>
      </c>
      <c r="I182" s="4" t="str">
        <f>"辽宁铁岭师范高等专科学校书法教育"</f>
        <v>辽宁铁岭师范高等专科学校书法教育</v>
      </c>
      <c r="J182" s="4" t="str">
        <f>"书法教育"</f>
        <v>书法教育</v>
      </c>
      <c r="K182" s="4" t="str">
        <f t="shared" si="69"/>
        <v>专科无学位</v>
      </c>
      <c r="L182" s="4" t="str">
        <f>"18687413440"</f>
        <v>18687413440</v>
      </c>
      <c r="M182" s="4" t="str">
        <f t="shared" si="44"/>
        <v>隆林县</v>
      </c>
      <c r="N182" s="4" t="str">
        <f>"云南省曲靖市麒麟区三宝镇"</f>
        <v>云南省曲靖市麒麟区三宝镇</v>
      </c>
      <c r="O182" s="4" t="str">
        <f>"1254760949@qq.com"</f>
        <v>1254760949@qq.com</v>
      </c>
      <c r="P182" s="4" t="str">
        <f>"2015.10.01"</f>
        <v>2015.10.01</v>
      </c>
      <c r="Q182" s="4" t="str">
        <f>"2015.06.01"</f>
        <v>2015.06.01</v>
      </c>
      <c r="R182" s="4" t="str">
        <f t="shared" si="67"/>
        <v>是</v>
      </c>
      <c r="S182" s="4" t="str">
        <f>"2:小学"</f>
        <v>2:小学</v>
      </c>
      <c r="T182" s="4" t="str">
        <f>"20165302922000121"</f>
        <v>20165302922000121</v>
      </c>
      <c r="U182" s="4" t="str">
        <f>"101821201506000694"</f>
        <v>101821201506000694</v>
      </c>
      <c r="V182" s="4" t="str">
        <f t="shared" si="70"/>
        <v>小学</v>
      </c>
      <c r="W182" s="4" t="str">
        <f t="shared" si="71"/>
        <v>102:语文</v>
      </c>
      <c r="X182" s="4" t="str">
        <f t="shared" si="46"/>
        <v>通过</v>
      </c>
    </row>
    <row r="183" spans="1:24" s="1" customFormat="1" ht="57">
      <c r="A183" s="4" t="str">
        <f>"3"</f>
        <v>3</v>
      </c>
      <c r="B183" s="4" t="str">
        <f>"唐依慧"</f>
        <v>唐依慧</v>
      </c>
      <c r="C183" s="4" t="str">
        <f t="shared" si="68"/>
        <v>女        </v>
      </c>
      <c r="D183" s="4" t="str">
        <f>"壮族"</f>
        <v>壮族</v>
      </c>
      <c r="E183" s="4" t="str">
        <f>"隆林"</f>
        <v>隆林</v>
      </c>
      <c r="F183" s="4" t="str">
        <f>"1993年06月"</f>
        <v>1993年06月</v>
      </c>
      <c r="G183" s="4" t="str">
        <f>"共青团员"</f>
        <v>共青团员</v>
      </c>
      <c r="H183" s="4" t="str">
        <f>"452631199306202689"</f>
        <v>452631199306202689</v>
      </c>
      <c r="I183" s="4" t="str">
        <f>"桂林师范高等专科学校思想政治教育"</f>
        <v>桂林师范高等专科学校思想政治教育</v>
      </c>
      <c r="J183" s="4" t="str">
        <f>"思想政治教育"</f>
        <v>思想政治教育</v>
      </c>
      <c r="K183" s="4" t="str">
        <f t="shared" si="69"/>
        <v>专科无学位</v>
      </c>
      <c r="L183" s="4" t="str">
        <f>"13553864340"</f>
        <v>13553864340</v>
      </c>
      <c r="M183" s="4" t="str">
        <f t="shared" si="44"/>
        <v>隆林县</v>
      </c>
      <c r="N183" s="4" t="str">
        <f>"广西省百色市隆林县新兴路77号"</f>
        <v>广西省百色市隆林县新兴路77号</v>
      </c>
      <c r="O183" s="4" t="str">
        <f>"595719141@qq.com"</f>
        <v>595719141@qq.com</v>
      </c>
      <c r="P183" s="4" t="str">
        <f>"2015.07.01"</f>
        <v>2015.07.01</v>
      </c>
      <c r="Q183" s="4" t="str">
        <f>"2015.06.01"</f>
        <v>2015.06.01</v>
      </c>
      <c r="R183" s="4" t="str">
        <f t="shared" si="67"/>
        <v>是</v>
      </c>
      <c r="S183" s="4" t="str">
        <f>"2:小学"</f>
        <v>2:小学</v>
      </c>
      <c r="T183" s="4" t="str">
        <f>"20154503022000379"</f>
        <v>20154503022000379</v>
      </c>
      <c r="U183" s="4" t="str">
        <f>"116711201506000036"</f>
        <v>116711201506000036</v>
      </c>
      <c r="V183" s="4" t="str">
        <f t="shared" si="70"/>
        <v>小学</v>
      </c>
      <c r="W183" s="4" t="str">
        <f t="shared" si="71"/>
        <v>102:语文</v>
      </c>
      <c r="X183" s="4" t="str">
        <f t="shared" si="46"/>
        <v>通过</v>
      </c>
    </row>
    <row r="184" spans="1:24" s="1" customFormat="1" ht="85.5">
      <c r="A184" s="4" t="str">
        <f>"4"</f>
        <v>4</v>
      </c>
      <c r="B184" s="4" t="str">
        <f>"李红艳"</f>
        <v>李红艳</v>
      </c>
      <c r="C184" s="4" t="str">
        <f t="shared" si="68"/>
        <v>女        </v>
      </c>
      <c r="D184" s="4" t="str">
        <f>"汉族"</f>
        <v>汉族</v>
      </c>
      <c r="E184" s="4" t="str">
        <f>"云南广南"</f>
        <v>云南广南</v>
      </c>
      <c r="F184" s="4" t="str">
        <f>"1993年09月"</f>
        <v>1993年09月</v>
      </c>
      <c r="G184" s="4" t="str">
        <f>"共青团员"</f>
        <v>共青团员</v>
      </c>
      <c r="H184" s="4" t="str">
        <f>"532627199309071747"</f>
        <v>532627199309071747</v>
      </c>
      <c r="I184" s="4" t="str">
        <f>"普洱学院历史教育"</f>
        <v>普洱学院历史教育</v>
      </c>
      <c r="J184" s="4" t="str">
        <f>"历史教育"</f>
        <v>历史教育</v>
      </c>
      <c r="K184" s="4" t="str">
        <f t="shared" si="69"/>
        <v>专科无学位</v>
      </c>
      <c r="L184" s="4" t="str">
        <f>"18387621156"</f>
        <v>18387621156</v>
      </c>
      <c r="M184" s="4" t="str">
        <f t="shared" si="44"/>
        <v>隆林县</v>
      </c>
      <c r="N184" s="4" t="str">
        <f>"云南省文山苗族壮族自治州广南县莲城镇南秀西路"</f>
        <v>云南省文山苗族壮族自治州广南县莲城镇南秀西路</v>
      </c>
      <c r="O184" s="4" t="str">
        <f>"1071411024@qq.com"</f>
        <v>1071411024@qq.com</v>
      </c>
      <c r="P184" s="4" t="str">
        <f>"2016.08.01"</f>
        <v>2016.08.01</v>
      </c>
      <c r="Q184" s="4" t="str">
        <f>"2016.07.01"</f>
        <v>2016.07.01</v>
      </c>
      <c r="R184" s="4" t="str">
        <f t="shared" si="67"/>
        <v>是</v>
      </c>
      <c r="S184" s="4" t="str">
        <f>"3:初级中学"</f>
        <v>3:初级中学</v>
      </c>
      <c r="T184" s="4" t="str">
        <f>"20165308332000307"</f>
        <v>20165308332000307</v>
      </c>
      <c r="U184" s="4" t="str">
        <f>"106851201606000640"</f>
        <v>106851201606000640</v>
      </c>
      <c r="V184" s="4" t="str">
        <f t="shared" si="70"/>
        <v>小学</v>
      </c>
      <c r="W184" s="4" t="str">
        <f t="shared" si="71"/>
        <v>102:语文</v>
      </c>
      <c r="X184" s="4" t="str">
        <f t="shared" si="46"/>
        <v>通过</v>
      </c>
    </row>
    <row r="185" spans="1:24" s="1" customFormat="1" ht="85.5">
      <c r="A185" s="4" t="str">
        <f>"5"</f>
        <v>5</v>
      </c>
      <c r="B185" s="4" t="str">
        <f>"吴晓盼"</f>
        <v>吴晓盼</v>
      </c>
      <c r="C185" s="4" t="str">
        <f t="shared" si="68"/>
        <v>女        </v>
      </c>
      <c r="D185" s="4" t="str">
        <f>"侗族"</f>
        <v>侗族</v>
      </c>
      <c r="E185" s="4" t="str">
        <f>"广西三江侗族自治县"</f>
        <v>广西三江侗族自治县</v>
      </c>
      <c r="F185" s="4" t="str">
        <f>"1995年07月"</f>
        <v>1995年07月</v>
      </c>
      <c r="G185" s="4" t="str">
        <f>"共青团员"</f>
        <v>共青团员</v>
      </c>
      <c r="H185" s="4" t="str">
        <f>"452228199507274021"</f>
        <v>452228199507274021</v>
      </c>
      <c r="I185" s="4" t="str">
        <f>"广西科技师范学院汉语"</f>
        <v>广西科技师范学院汉语</v>
      </c>
      <c r="J185" s="4" t="str">
        <f>"汉语"</f>
        <v>汉语</v>
      </c>
      <c r="K185" s="4" t="str">
        <f t="shared" si="69"/>
        <v>专科无学位</v>
      </c>
      <c r="L185" s="4" t="str">
        <f>"18878279086"</f>
        <v>18878279086</v>
      </c>
      <c r="M185" s="4" t="str">
        <f t="shared" si="44"/>
        <v>隆林县</v>
      </c>
      <c r="N185" s="4" t="str">
        <f>"广西三江侗族自治县八江镇八斗村八斗小屯44号"</f>
        <v>广西三江侗族自治县八江镇八斗村八斗小屯44号</v>
      </c>
      <c r="O185" s="4" t="str">
        <f>"758507456@qq.com"</f>
        <v>758507456@qq.com</v>
      </c>
      <c r="P185" s="4" t="str">
        <f>"2016.09.01"</f>
        <v>2016.09.01</v>
      </c>
      <c r="Q185" s="4" t="str">
        <f>"2017.07.01"</f>
        <v>2017.07.01</v>
      </c>
      <c r="R185" s="4" t="str">
        <f>"不是"</f>
        <v>不是</v>
      </c>
      <c r="S185" s="4" t="str">
        <f>"0:暂未取得"</f>
        <v>0:暂未取得</v>
      </c>
      <c r="T185" s="4" t="str">
        <f>"暂无"</f>
        <v>暂无</v>
      </c>
      <c r="U185" s="4" t="str">
        <f>"暂无"</f>
        <v>暂无</v>
      </c>
      <c r="V185" s="4" t="str">
        <f t="shared" si="70"/>
        <v>小学</v>
      </c>
      <c r="W185" s="4" t="str">
        <f t="shared" si="71"/>
        <v>102:语文</v>
      </c>
      <c r="X185" s="4" t="str">
        <f t="shared" si="46"/>
        <v>通过</v>
      </c>
    </row>
    <row r="186" spans="1:24" s="1" customFormat="1" ht="85.5">
      <c r="A186" s="4" t="str">
        <f>"6"</f>
        <v>6</v>
      </c>
      <c r="B186" s="4" t="str">
        <f>"李福"</f>
        <v>李福</v>
      </c>
      <c r="C186" s="4" t="str">
        <f t="shared" si="68"/>
        <v>女        </v>
      </c>
      <c r="D186" s="4" t="str">
        <f>"汉族"</f>
        <v>汉族</v>
      </c>
      <c r="E186" s="4" t="str">
        <f>"广西百色"</f>
        <v>广西百色</v>
      </c>
      <c r="F186" s="4" t="str">
        <f>"1994年05月"</f>
        <v>1994年05月</v>
      </c>
      <c r="G186" s="4" t="str">
        <f>"共青团员"</f>
        <v>共青团员</v>
      </c>
      <c r="H186" s="4" t="str">
        <f>"452631199405193140"</f>
        <v>452631199405193140</v>
      </c>
      <c r="I186" s="4" t="str">
        <f>"百色学院学前教育"</f>
        <v>百色学院学前教育</v>
      </c>
      <c r="J186" s="4" t="str">
        <f>"学前教育"</f>
        <v>学前教育</v>
      </c>
      <c r="K186" s="4" t="str">
        <f t="shared" si="69"/>
        <v>专科无学位</v>
      </c>
      <c r="L186" s="4" t="str">
        <f>"18377680360"</f>
        <v>18377680360</v>
      </c>
      <c r="M186" s="4" t="str">
        <f t="shared" si="44"/>
        <v>隆林县</v>
      </c>
      <c r="N186" s="4" t="str">
        <f>"广西隆林各族自治县德峨镇新街村弄好屯028号"</f>
        <v>广西隆林各族自治县德峨镇新街村弄好屯028号</v>
      </c>
      <c r="O186" s="4" t="str">
        <f>"2280025564@qq.com"</f>
        <v>2280025564@qq.com</v>
      </c>
      <c r="P186" s="4" t="str">
        <f>"2017.03.01"</f>
        <v>2017.03.01</v>
      </c>
      <c r="Q186" s="4" t="str">
        <f>"2017.06.01"</f>
        <v>2017.06.01</v>
      </c>
      <c r="R186" s="4" t="str">
        <f>"是"</f>
        <v>是</v>
      </c>
      <c r="S186" s="4" t="str">
        <f>"1:幼儿园"</f>
        <v>1:幼儿园</v>
      </c>
      <c r="T186" s="4" t="str">
        <f>"2016451014249"</f>
        <v>2016451014249</v>
      </c>
      <c r="U186" s="4" t="str">
        <f>"2017届毕业生"</f>
        <v>2017届毕业生</v>
      </c>
      <c r="V186" s="4" t="str">
        <f t="shared" si="70"/>
        <v>小学</v>
      </c>
      <c r="W186" s="4" t="str">
        <f t="shared" si="71"/>
        <v>102:语文</v>
      </c>
      <c r="X186" s="4" t="str">
        <f t="shared" si="46"/>
        <v>通过</v>
      </c>
    </row>
    <row r="187" spans="1:24" s="1" customFormat="1" ht="71.25">
      <c r="A187" s="4" t="str">
        <f>"7"</f>
        <v>7</v>
      </c>
      <c r="B187" s="4" t="str">
        <f>"黄宏"</f>
        <v>黄宏</v>
      </c>
      <c r="C187" s="4" t="str">
        <f>"男        "</f>
        <v>男        </v>
      </c>
      <c r="D187" s="4" t="str">
        <f>"苗族"</f>
        <v>苗族</v>
      </c>
      <c r="E187" s="4" t="str">
        <f>"贵州省望谟县"</f>
        <v>贵州省望谟县</v>
      </c>
      <c r="F187" s="4" t="str">
        <f>"1993年08月"</f>
        <v>1993年08月</v>
      </c>
      <c r="G187" s="4" t="str">
        <f>"群众"</f>
        <v>群众</v>
      </c>
      <c r="H187" s="4" t="str">
        <f>"52232619930801261x"</f>
        <v>52232619930801261x</v>
      </c>
      <c r="I187" s="4" t="str">
        <f>"铜仁幼儿师范高等专科学校初等教育"</f>
        <v>铜仁幼儿师范高等专科学校初等教育</v>
      </c>
      <c r="J187" s="4" t="str">
        <f>"初等教育"</f>
        <v>初等教育</v>
      </c>
      <c r="K187" s="4" t="str">
        <f t="shared" si="69"/>
        <v>专科无学位</v>
      </c>
      <c r="L187" s="4" t="str">
        <f>"15117321223"</f>
        <v>15117321223</v>
      </c>
      <c r="M187" s="4" t="str">
        <f t="shared" si="44"/>
        <v>隆林县</v>
      </c>
      <c r="N187" s="4" t="str">
        <f>"贵州省望谟县昂武乡春村七组"</f>
        <v>贵州省望谟县昂武乡春村七组</v>
      </c>
      <c r="O187" s="4" t="str">
        <f>"286383999@qq.com"</f>
        <v>286383999@qq.com</v>
      </c>
      <c r="P187" s="4">
        <f>""</f>
      </c>
      <c r="Q187" s="4" t="str">
        <f>"2017.07.01"</f>
        <v>2017.07.01</v>
      </c>
      <c r="R187" s="4" t="str">
        <f>"是"</f>
        <v>是</v>
      </c>
      <c r="S187" s="4" t="str">
        <f>"0:暂未取得"</f>
        <v>0:暂未取得</v>
      </c>
      <c r="T187" s="4" t="str">
        <f>"2017届毕业生填暂无"</f>
        <v>2017届毕业生填暂无</v>
      </c>
      <c r="U187" s="4" t="str">
        <f>"2017届毕业生填暂无"</f>
        <v>2017届毕业生填暂无</v>
      </c>
      <c r="V187" s="4" t="str">
        <f t="shared" si="70"/>
        <v>小学</v>
      </c>
      <c r="W187" s="4" t="str">
        <f t="shared" si="71"/>
        <v>102:语文</v>
      </c>
      <c r="X187" s="4" t="str">
        <f t="shared" si="46"/>
        <v>通过</v>
      </c>
    </row>
    <row r="188" spans="1:24" s="1" customFormat="1" ht="71.25">
      <c r="A188" s="4" t="str">
        <f>"8"</f>
        <v>8</v>
      </c>
      <c r="B188" s="4" t="str">
        <f>"杨梦"</f>
        <v>杨梦</v>
      </c>
      <c r="C188" s="4" t="str">
        <f>"女        "</f>
        <v>女        </v>
      </c>
      <c r="D188" s="4" t="str">
        <f>"壮族"</f>
        <v>壮族</v>
      </c>
      <c r="E188" s="4" t="str">
        <f>"百色隆林"</f>
        <v>百色隆林</v>
      </c>
      <c r="F188" s="4" t="str">
        <f>"1992年08月"</f>
        <v>1992年08月</v>
      </c>
      <c r="G188" s="4" t="str">
        <f>"中共党员"</f>
        <v>中共党员</v>
      </c>
      <c r="H188" s="4" t="str">
        <f>"452631199208170345"</f>
        <v>452631199208170345</v>
      </c>
      <c r="I188" s="4" t="str">
        <f>"广西幼儿师范高等专科学校学前教育"</f>
        <v>广西幼儿师范高等专科学校学前教育</v>
      </c>
      <c r="J188" s="4" t="str">
        <f>"学前教育"</f>
        <v>学前教育</v>
      </c>
      <c r="K188" s="4" t="str">
        <f t="shared" si="69"/>
        <v>专科无学位</v>
      </c>
      <c r="L188" s="4" t="str">
        <f>"18178600792"</f>
        <v>18178600792</v>
      </c>
      <c r="M188" s="4" t="str">
        <f t="shared" si="44"/>
        <v>隆林县</v>
      </c>
      <c r="N188" s="4" t="str">
        <f>"广西百色市隆林县桠杈镇生基湾么能屯"</f>
        <v>广西百色市隆林县桠杈镇生基湾么能屯</v>
      </c>
      <c r="O188" s="4" t="str">
        <f>"330286209@qq.com"</f>
        <v>330286209@qq.com</v>
      </c>
      <c r="P188" s="4" t="str">
        <f>"2014.09.01"</f>
        <v>2014.09.01</v>
      </c>
      <c r="Q188" s="4" t="str">
        <f>"2014.07.01"</f>
        <v>2014.07.01</v>
      </c>
      <c r="R188" s="4" t="str">
        <f>"是"</f>
        <v>是</v>
      </c>
      <c r="S188" s="4" t="str">
        <f>"2:小学"</f>
        <v>2:小学</v>
      </c>
      <c r="T188" s="4" t="str">
        <f>"20164580522000007"</f>
        <v>20164580522000007</v>
      </c>
      <c r="U188" s="4" t="str">
        <f>"142201201406000325"</f>
        <v>142201201406000325</v>
      </c>
      <c r="V188" s="4" t="str">
        <f t="shared" si="70"/>
        <v>小学</v>
      </c>
      <c r="W188" s="4" t="str">
        <f t="shared" si="71"/>
        <v>102:语文</v>
      </c>
      <c r="X188" s="4" t="str">
        <f t="shared" si="46"/>
        <v>通过</v>
      </c>
    </row>
    <row r="189" spans="1:24" s="1" customFormat="1" ht="85.5">
      <c r="A189" s="4" t="str">
        <f>"9"</f>
        <v>9</v>
      </c>
      <c r="B189" s="4" t="str">
        <f>"段明新"</f>
        <v>段明新</v>
      </c>
      <c r="C189" s="4" t="str">
        <f>"女        "</f>
        <v>女        </v>
      </c>
      <c r="D189" s="4" t="str">
        <f>"汉族"</f>
        <v>汉族</v>
      </c>
      <c r="E189" s="4" t="str">
        <f>"贵州贞丰"</f>
        <v>贵州贞丰</v>
      </c>
      <c r="F189" s="4" t="str">
        <f>"1994年04月"</f>
        <v>1994年04月</v>
      </c>
      <c r="G189" s="4" t="str">
        <f aca="true" t="shared" si="72" ref="G189:G198">"共青团员"</f>
        <v>共青团员</v>
      </c>
      <c r="H189" s="4" t="str">
        <f>"522325199404080026"</f>
        <v>522325199404080026</v>
      </c>
      <c r="I189" s="4" t="str">
        <f>"兴义民族师范学院初等教育小学教育文科方向"</f>
        <v>兴义民族师范学院初等教育小学教育文科方向</v>
      </c>
      <c r="J189" s="4" t="str">
        <f>"初等教育小学教育文科方向"</f>
        <v>初等教育小学教育文科方向</v>
      </c>
      <c r="K189" s="4" t="str">
        <f t="shared" si="69"/>
        <v>专科无学位</v>
      </c>
      <c r="L189" s="4" t="str">
        <f>"15285462076"</f>
        <v>15285462076</v>
      </c>
      <c r="M189" s="4" t="str">
        <f t="shared" si="44"/>
        <v>隆林县</v>
      </c>
      <c r="N189" s="4" t="str">
        <f>"贵州省贞丰县珉谷镇劳动三巷"</f>
        <v>贵州省贞丰县珉谷镇劳动三巷</v>
      </c>
      <c r="O189" s="4" t="str">
        <f>"793647991@qq.com"</f>
        <v>793647991@qq.com</v>
      </c>
      <c r="P189" s="4">
        <f>""</f>
      </c>
      <c r="Q189" s="4" t="str">
        <f>"2015.07.01"</f>
        <v>2015.07.01</v>
      </c>
      <c r="R189" s="4" t="str">
        <f>"是"</f>
        <v>是</v>
      </c>
      <c r="S189" s="4" t="str">
        <f>"2:小学"</f>
        <v>2:小学</v>
      </c>
      <c r="T189" s="4" t="str">
        <f>"201552090122001124"</f>
        <v>201552090122001124</v>
      </c>
      <c r="U189" s="4" t="str">
        <f>"106661201506000153"</f>
        <v>106661201506000153</v>
      </c>
      <c r="V189" s="4" t="str">
        <f t="shared" si="70"/>
        <v>小学</v>
      </c>
      <c r="W189" s="4" t="str">
        <f t="shared" si="71"/>
        <v>102:语文</v>
      </c>
      <c r="X189" s="4" t="str">
        <f t="shared" si="46"/>
        <v>通过</v>
      </c>
    </row>
    <row r="190" spans="1:24" s="1" customFormat="1" ht="57">
      <c r="A190" s="4" t="str">
        <f>"10"</f>
        <v>10</v>
      </c>
      <c r="B190" s="4" t="str">
        <f>"班陆宁"</f>
        <v>班陆宁</v>
      </c>
      <c r="C190" s="4" t="str">
        <f>"男        "</f>
        <v>男        </v>
      </c>
      <c r="D190" s="4" t="str">
        <f>"壮族"</f>
        <v>壮族</v>
      </c>
      <c r="E190" s="4" t="str">
        <f>"广西田林县"</f>
        <v>广西田林县</v>
      </c>
      <c r="F190" s="4" t="str">
        <f>"1995年08月"</f>
        <v>1995年08月</v>
      </c>
      <c r="G190" s="4" t="str">
        <f t="shared" si="72"/>
        <v>共青团员</v>
      </c>
      <c r="H190" s="4" t="str">
        <f>"451029199508183572"</f>
        <v>451029199508183572</v>
      </c>
      <c r="I190" s="4" t="str">
        <f>"百色学院学前教育"</f>
        <v>百色学院学前教育</v>
      </c>
      <c r="J190" s="4" t="str">
        <f>"学前教育"</f>
        <v>学前教育</v>
      </c>
      <c r="K190" s="4" t="str">
        <f t="shared" si="69"/>
        <v>专科无学位</v>
      </c>
      <c r="L190" s="4" t="str">
        <f>"15078688848"</f>
        <v>15078688848</v>
      </c>
      <c r="M190" s="4" t="str">
        <f t="shared" si="44"/>
        <v>隆林县</v>
      </c>
      <c r="N190" s="4" t="str">
        <f>"广西田林县高龙乡渭山村八丰屯"</f>
        <v>广西田林县高龙乡渭山村八丰屯</v>
      </c>
      <c r="O190" s="4" t="str">
        <f>"1793251838@qq.com"</f>
        <v>1793251838@qq.com</v>
      </c>
      <c r="P190" s="4">
        <f>""</f>
      </c>
      <c r="Q190" s="4" t="str">
        <f>"2017.06.01"</f>
        <v>2017.06.01</v>
      </c>
      <c r="R190" s="4" t="str">
        <f>"是"</f>
        <v>是</v>
      </c>
      <c r="S190" s="4" t="str">
        <f>"1:幼儿园"</f>
        <v>1:幼儿园</v>
      </c>
      <c r="T190" s="4" t="str">
        <f>"暂无"</f>
        <v>暂无</v>
      </c>
      <c r="U190" s="4" t="str">
        <f>"暂无"</f>
        <v>暂无</v>
      </c>
      <c r="V190" s="4" t="str">
        <f t="shared" si="70"/>
        <v>小学</v>
      </c>
      <c r="W190" s="4" t="str">
        <f t="shared" si="71"/>
        <v>102:语文</v>
      </c>
      <c r="X190" s="4" t="str">
        <f t="shared" si="46"/>
        <v>通过</v>
      </c>
    </row>
    <row r="191" spans="1:24" s="1" customFormat="1" ht="85.5">
      <c r="A191" s="4" t="str">
        <f>"11"</f>
        <v>11</v>
      </c>
      <c r="B191" s="4" t="str">
        <f>"吴蓉"</f>
        <v>吴蓉</v>
      </c>
      <c r="C191" s="4" t="str">
        <f>"女        "</f>
        <v>女        </v>
      </c>
      <c r="D191" s="4" t="str">
        <f>"汉族"</f>
        <v>汉族</v>
      </c>
      <c r="E191" s="4" t="str">
        <f>"云南"</f>
        <v>云南</v>
      </c>
      <c r="F191" s="4" t="str">
        <f>"1990年08月"</f>
        <v>1990年08月</v>
      </c>
      <c r="G191" s="4" t="str">
        <f t="shared" si="72"/>
        <v>共青团员</v>
      </c>
      <c r="H191" s="4" t="str">
        <f>"530328199008260948"</f>
        <v>530328199008260948</v>
      </c>
      <c r="I191" s="4" t="str">
        <f>"云南师范大学文理学院财务管理"</f>
        <v>云南师范大学文理学院财务管理</v>
      </c>
      <c r="J191" s="4" t="str">
        <f>"财务管理"</f>
        <v>财务管理</v>
      </c>
      <c r="K191" s="4" t="str">
        <f>"本科学士"</f>
        <v>本科学士</v>
      </c>
      <c r="L191" s="4" t="str">
        <f>"15608741340"</f>
        <v>15608741340</v>
      </c>
      <c r="M191" s="4" t="str">
        <f t="shared" si="44"/>
        <v>隆林县</v>
      </c>
      <c r="N191" s="4" t="str">
        <f>"云南省曲靖市沾益区西平镇太平村委会下腰站村46号"</f>
        <v>云南省曲靖市沾益区西平镇太平村委会下腰站村46号</v>
      </c>
      <c r="O191" s="4" t="str">
        <f>"1096811753@qq.com"</f>
        <v>1096811753@qq.com</v>
      </c>
      <c r="P191" s="4" t="str">
        <f>"2014.09.01"</f>
        <v>2014.09.01</v>
      </c>
      <c r="Q191" s="4" t="str">
        <f>"2014.07.01"</f>
        <v>2014.07.01</v>
      </c>
      <c r="R191" s="4" t="str">
        <f>"不是"</f>
        <v>不是</v>
      </c>
      <c r="S191" s="4" t="str">
        <f>"2:小学"</f>
        <v>2:小学</v>
      </c>
      <c r="T191" s="4" t="str">
        <f>"20175314622000054"</f>
        <v>20175314622000054</v>
      </c>
      <c r="U191" s="4" t="str">
        <f>"133311201405001249"</f>
        <v>133311201405001249</v>
      </c>
      <c r="V191" s="4" t="str">
        <f t="shared" si="70"/>
        <v>小学</v>
      </c>
      <c r="W191" s="4" t="str">
        <f t="shared" si="71"/>
        <v>102:语文</v>
      </c>
      <c r="X191" s="4" t="str">
        <f t="shared" si="46"/>
        <v>通过</v>
      </c>
    </row>
    <row r="192" spans="1:24" s="1" customFormat="1" ht="57">
      <c r="A192" s="4" t="str">
        <f>"12"</f>
        <v>12</v>
      </c>
      <c r="B192" s="4" t="str">
        <f>"梁素娇"</f>
        <v>梁素娇</v>
      </c>
      <c r="C192" s="4" t="str">
        <f>"女        "</f>
        <v>女        </v>
      </c>
      <c r="D192" s="4" t="str">
        <f>"壮族"</f>
        <v>壮族</v>
      </c>
      <c r="E192" s="4" t="str">
        <f>"广西隆林各族自治县"</f>
        <v>广西隆林各族自治县</v>
      </c>
      <c r="F192" s="4" t="str">
        <f>"1995年09月"</f>
        <v>1995年09月</v>
      </c>
      <c r="G192" s="4" t="str">
        <f t="shared" si="72"/>
        <v>共青团员</v>
      </c>
      <c r="H192" s="4" t="str">
        <f>"452631199509081768"</f>
        <v>452631199509081768</v>
      </c>
      <c r="I192" s="4" t="str">
        <f>"桂林师范高等专科学校学前教育"</f>
        <v>桂林师范高等专科学校学前教育</v>
      </c>
      <c r="J192" s="4" t="str">
        <f>"学前教育"</f>
        <v>学前教育</v>
      </c>
      <c r="K192" s="4" t="str">
        <f>"专科无学位"</f>
        <v>专科无学位</v>
      </c>
      <c r="L192" s="4" t="str">
        <f>"13657732667"</f>
        <v>13657732667</v>
      </c>
      <c r="M192" s="4" t="str">
        <f t="shared" si="44"/>
        <v>隆林县</v>
      </c>
      <c r="N192" s="4" t="str">
        <f>"广西隆林各族自治县者保乡作欢村"</f>
        <v>广西隆林各族自治县者保乡作欢村</v>
      </c>
      <c r="O192" s="4" t="str">
        <f>"1257083364@qq.com"</f>
        <v>1257083364@qq.com</v>
      </c>
      <c r="P192" s="4" t="str">
        <f>"2017.02.01"</f>
        <v>2017.02.01</v>
      </c>
      <c r="Q192" s="4" t="str">
        <f>"2017.06.01"</f>
        <v>2017.06.01</v>
      </c>
      <c r="R192" s="4" t="str">
        <f>"是"</f>
        <v>是</v>
      </c>
      <c r="S192" s="4" t="str">
        <f>"1:幼儿园"</f>
        <v>1:幼儿园</v>
      </c>
      <c r="T192" s="4" t="str">
        <f>"暂无"</f>
        <v>暂无</v>
      </c>
      <c r="U192" s="4" t="str">
        <f>"暂无"</f>
        <v>暂无</v>
      </c>
      <c r="V192" s="4" t="str">
        <f t="shared" si="70"/>
        <v>小学</v>
      </c>
      <c r="W192" s="4" t="str">
        <f t="shared" si="71"/>
        <v>102:语文</v>
      </c>
      <c r="X192" s="4" t="str">
        <f t="shared" si="46"/>
        <v>通过</v>
      </c>
    </row>
    <row r="193" spans="1:24" s="1" customFormat="1" ht="71.25">
      <c r="A193" s="4" t="str">
        <f>"13"</f>
        <v>13</v>
      </c>
      <c r="B193" s="4" t="str">
        <f>"秦绍梦"</f>
        <v>秦绍梦</v>
      </c>
      <c r="C193" s="4" t="str">
        <f>"男        "</f>
        <v>男        </v>
      </c>
      <c r="D193" s="4" t="str">
        <f>"汉族"</f>
        <v>汉族</v>
      </c>
      <c r="E193" s="4" t="str">
        <f>"云南宣威"</f>
        <v>云南宣威</v>
      </c>
      <c r="F193" s="4" t="str">
        <f>"1993年07月"</f>
        <v>1993年07月</v>
      </c>
      <c r="G193" s="4" t="str">
        <f t="shared" si="72"/>
        <v>共青团员</v>
      </c>
      <c r="H193" s="4" t="str">
        <f>"532224199307133157"</f>
        <v>532224199307133157</v>
      </c>
      <c r="I193" s="4" t="str">
        <f>"德宏师范高等专科学语文教育"</f>
        <v>德宏师范高等专科学语文教育</v>
      </c>
      <c r="J193" s="4" t="str">
        <f>"语文教育"</f>
        <v>语文教育</v>
      </c>
      <c r="K193" s="4" t="str">
        <f>"专科无学位"</f>
        <v>专科无学位</v>
      </c>
      <c r="L193" s="4" t="str">
        <f>"15987456397"</f>
        <v>15987456397</v>
      </c>
      <c r="M193" s="4" t="str">
        <f t="shared" si="44"/>
        <v>隆林县</v>
      </c>
      <c r="N193" s="4" t="str">
        <f>"云南省宣威市倘塘镇旧堡村委会迤头田村26号"</f>
        <v>云南省宣威市倘塘镇旧堡村委会迤头田村26号</v>
      </c>
      <c r="O193" s="4" t="str">
        <f>"1131644684@qq.com"</f>
        <v>1131644684@qq.com</v>
      </c>
      <c r="P193" s="4" t="str">
        <f>"2016.09.01"</f>
        <v>2016.09.01</v>
      </c>
      <c r="Q193" s="4" t="str">
        <f>"2016.07.01"</f>
        <v>2016.07.01</v>
      </c>
      <c r="R193" s="4" t="str">
        <f>"是"</f>
        <v>是</v>
      </c>
      <c r="S193" s="4" t="str">
        <f>"3:初级中学"</f>
        <v>3:初级中学</v>
      </c>
      <c r="T193" s="4" t="str">
        <f>"20165311831001094"</f>
        <v>20165311831001094</v>
      </c>
      <c r="U193" s="4" t="str">
        <f>"140161201606001426"</f>
        <v>140161201606001426</v>
      </c>
      <c r="V193" s="4" t="str">
        <f t="shared" si="70"/>
        <v>小学</v>
      </c>
      <c r="W193" s="4" t="str">
        <f t="shared" si="71"/>
        <v>102:语文</v>
      </c>
      <c r="X193" s="4" t="str">
        <f t="shared" si="46"/>
        <v>通过</v>
      </c>
    </row>
    <row r="194" spans="1:24" s="1" customFormat="1" ht="71.25">
      <c r="A194" s="4" t="str">
        <f>"14"</f>
        <v>14</v>
      </c>
      <c r="B194" s="4" t="str">
        <f>"杨兰芬"</f>
        <v>杨兰芬</v>
      </c>
      <c r="C194" s="4" t="str">
        <f>"女        "</f>
        <v>女        </v>
      </c>
      <c r="D194" s="4" t="str">
        <f>"汉族"</f>
        <v>汉族</v>
      </c>
      <c r="E194" s="4" t="str">
        <f>"云南省德宏州"</f>
        <v>云南省德宏州</v>
      </c>
      <c r="F194" s="4" t="str">
        <f>"1994年11月"</f>
        <v>1994年11月</v>
      </c>
      <c r="G194" s="4" t="str">
        <f t="shared" si="72"/>
        <v>共青团员</v>
      </c>
      <c r="H194" s="4" t="str">
        <f>"533124199411011542"</f>
        <v>533124199411011542</v>
      </c>
      <c r="I194" s="4" t="str">
        <f>"昭通学院小学教育"</f>
        <v>昭通学院小学教育</v>
      </c>
      <c r="J194" s="4" t="str">
        <f>"小学教育"</f>
        <v>小学教育</v>
      </c>
      <c r="K194" s="4" t="str">
        <f>"本科学士"</f>
        <v>本科学士</v>
      </c>
      <c r="L194" s="4" t="str">
        <f>"15750192302"</f>
        <v>15750192302</v>
      </c>
      <c r="M194" s="4" t="str">
        <f t="shared" si="44"/>
        <v>隆林县</v>
      </c>
      <c r="N194" s="4" t="str">
        <f>"云南省德宏州陇川县清平乡清平村街子一社"</f>
        <v>云南省德宏州陇川县清平乡清平村街子一社</v>
      </c>
      <c r="O194" s="4" t="str">
        <f>"1276613727@qq.com"</f>
        <v>1276613727@qq.com</v>
      </c>
      <c r="P194" s="4">
        <f>""</f>
      </c>
      <c r="Q194" s="4" t="str">
        <f>"2017.07.01"</f>
        <v>2017.07.01</v>
      </c>
      <c r="R194" s="4" t="str">
        <f>"是"</f>
        <v>是</v>
      </c>
      <c r="S194" s="4" t="str">
        <f>"2:小学"</f>
        <v>2:小学</v>
      </c>
      <c r="T194" s="4" t="str">
        <f>"2017届毕业生填暂无"</f>
        <v>2017届毕业生填暂无</v>
      </c>
      <c r="U194" s="4" t="str">
        <f>"2017届毕业生填暂无"</f>
        <v>2017届毕业生填暂无</v>
      </c>
      <c r="V194" s="4" t="str">
        <f t="shared" si="70"/>
        <v>小学</v>
      </c>
      <c r="W194" s="4" t="str">
        <f t="shared" si="71"/>
        <v>102:语文</v>
      </c>
      <c r="X194" s="4" t="str">
        <f t="shared" si="46"/>
        <v>通过</v>
      </c>
    </row>
    <row r="195" spans="1:24" s="1" customFormat="1" ht="85.5">
      <c r="A195" s="4" t="str">
        <f>"15"</f>
        <v>15</v>
      </c>
      <c r="B195" s="4" t="str">
        <f>"何龙贵"</f>
        <v>何龙贵</v>
      </c>
      <c r="C195" s="4" t="str">
        <f>"男        "</f>
        <v>男        </v>
      </c>
      <c r="D195" s="4" t="str">
        <f>"汉族"</f>
        <v>汉族</v>
      </c>
      <c r="E195" s="4" t="str">
        <f>"广西隆林"</f>
        <v>广西隆林</v>
      </c>
      <c r="F195" s="4" t="str">
        <f>"1991年12月"</f>
        <v>1991年12月</v>
      </c>
      <c r="G195" s="4" t="str">
        <f t="shared" si="72"/>
        <v>共青团员</v>
      </c>
      <c r="H195" s="4" t="str">
        <f>"452631199112300010"</f>
        <v>452631199112300010</v>
      </c>
      <c r="I195" s="4" t="str">
        <f>"广西民族师范学院行政管理"</f>
        <v>广西民族师范学院行政管理</v>
      </c>
      <c r="J195" s="4" t="str">
        <f>"行政管理"</f>
        <v>行政管理</v>
      </c>
      <c r="K195" s="4" t="str">
        <f>"本科学士"</f>
        <v>本科学士</v>
      </c>
      <c r="L195" s="4" t="str">
        <f>"15878728642"</f>
        <v>15878728642</v>
      </c>
      <c r="M195" s="4" t="str">
        <f aca="true" t="shared" si="73" ref="M195:M258">"隆林县"</f>
        <v>隆林县</v>
      </c>
      <c r="N195" s="4" t="str">
        <f>"广西隆林各族自治县新州镇民族社区民族街250号"</f>
        <v>广西隆林各族自治县新州镇民族社区民族街250号</v>
      </c>
      <c r="O195" s="4" t="str">
        <f>"2695577982@qq.com"</f>
        <v>2695577982@qq.com</v>
      </c>
      <c r="P195" s="4" t="str">
        <f>"2016.10.01"</f>
        <v>2016.10.01</v>
      </c>
      <c r="Q195" s="4" t="str">
        <f>"2017.07.01"</f>
        <v>2017.07.01</v>
      </c>
      <c r="R195" s="4" t="str">
        <f>"不是"</f>
        <v>不是</v>
      </c>
      <c r="S195" s="4" t="str">
        <f>"3:初级中学"</f>
        <v>3:初级中学</v>
      </c>
      <c r="T195" s="4" t="str">
        <f>"暂无"</f>
        <v>暂无</v>
      </c>
      <c r="U195" s="4" t="str">
        <f>"暂无"</f>
        <v>暂无</v>
      </c>
      <c r="V195" s="4" t="str">
        <f t="shared" si="70"/>
        <v>小学</v>
      </c>
      <c r="W195" s="4" t="str">
        <f t="shared" si="71"/>
        <v>102:语文</v>
      </c>
      <c r="X195" s="4" t="str">
        <f aca="true" t="shared" si="74" ref="X195:X258">"通过"</f>
        <v>通过</v>
      </c>
    </row>
    <row r="196" spans="1:24" s="1" customFormat="1" ht="57">
      <c r="A196" s="4" t="str">
        <f>"16"</f>
        <v>16</v>
      </c>
      <c r="B196" s="4" t="str">
        <f>"王立凤"</f>
        <v>王立凤</v>
      </c>
      <c r="C196" s="4" t="str">
        <f aca="true" t="shared" si="75" ref="C196:C204">"女        "</f>
        <v>女        </v>
      </c>
      <c r="D196" s="4" t="str">
        <f>"汉族"</f>
        <v>汉族</v>
      </c>
      <c r="E196" s="4" t="str">
        <f>"贵州省贞丰县"</f>
        <v>贵州省贞丰县</v>
      </c>
      <c r="F196" s="4" t="str">
        <f>"1990年09月"</f>
        <v>1990年09月</v>
      </c>
      <c r="G196" s="4" t="str">
        <f t="shared" si="72"/>
        <v>共青团员</v>
      </c>
      <c r="H196" s="4" t="str">
        <f>"522325199009283229"</f>
        <v>522325199009283229</v>
      </c>
      <c r="I196" s="4" t="str">
        <f>"琼台师范高等专科学校汉语"</f>
        <v>琼台师范高等专科学校汉语</v>
      </c>
      <c r="J196" s="4" t="str">
        <f>"汉语"</f>
        <v>汉语</v>
      </c>
      <c r="K196" s="4" t="str">
        <f>"专科无学位"</f>
        <v>专科无学位</v>
      </c>
      <c r="L196" s="4" t="str">
        <f>"18386454267"</f>
        <v>18386454267</v>
      </c>
      <c r="M196" s="4" t="str">
        <f t="shared" si="73"/>
        <v>隆林县</v>
      </c>
      <c r="N196" s="4" t="str">
        <f>"贵州省贞丰县长田镇细汆村"</f>
        <v>贵州省贞丰县长田镇细汆村</v>
      </c>
      <c r="O196" s="4" t="str">
        <f>"1473864314@qq.com"</f>
        <v>1473864314@qq.com</v>
      </c>
      <c r="P196" s="4" t="str">
        <f>"2015.07.01"</f>
        <v>2015.07.01</v>
      </c>
      <c r="Q196" s="4" t="str">
        <f>"2015.06.01"</f>
        <v>2015.06.01</v>
      </c>
      <c r="R196" s="4" t="str">
        <f>"不是"</f>
        <v>不是</v>
      </c>
      <c r="S196" s="4" t="str">
        <f>"2:小学"</f>
        <v>2:小学</v>
      </c>
      <c r="T196" s="4" t="str">
        <f>"20165290622000123"</f>
        <v>20165290622000123</v>
      </c>
      <c r="U196" s="4" t="str">
        <f>"138111201506000578"</f>
        <v>138111201506000578</v>
      </c>
      <c r="V196" s="4" t="str">
        <f t="shared" si="70"/>
        <v>小学</v>
      </c>
      <c r="W196" s="4" t="str">
        <f t="shared" si="71"/>
        <v>102:语文</v>
      </c>
      <c r="X196" s="4" t="str">
        <f t="shared" si="74"/>
        <v>通过</v>
      </c>
    </row>
    <row r="197" spans="1:24" s="1" customFormat="1" ht="85.5">
      <c r="A197" s="4" t="str">
        <f>"17"</f>
        <v>17</v>
      </c>
      <c r="B197" s="4" t="str">
        <f>"黄彩锐"</f>
        <v>黄彩锐</v>
      </c>
      <c r="C197" s="4" t="str">
        <f t="shared" si="75"/>
        <v>女        </v>
      </c>
      <c r="D197" s="4" t="str">
        <f>"壮族"</f>
        <v>壮族</v>
      </c>
      <c r="E197" s="4" t="str">
        <f>"广西"</f>
        <v>广西</v>
      </c>
      <c r="F197" s="4" t="str">
        <f>"1997年07月"</f>
        <v>1997年07月</v>
      </c>
      <c r="G197" s="4" t="str">
        <f t="shared" si="72"/>
        <v>共青团员</v>
      </c>
      <c r="H197" s="4" t="str">
        <f>"452631199707012069"</f>
        <v>452631199707012069</v>
      </c>
      <c r="I197" s="4" t="str">
        <f>"广西教育学院学前教育"</f>
        <v>广西教育学院学前教育</v>
      </c>
      <c r="J197" s="4" t="str">
        <f>"学前教育"</f>
        <v>学前教育</v>
      </c>
      <c r="K197" s="4" t="str">
        <f>"专科无学位"</f>
        <v>专科无学位</v>
      </c>
      <c r="L197" s="4" t="str">
        <f>"15578613628"</f>
        <v>15578613628</v>
      </c>
      <c r="M197" s="4" t="str">
        <f t="shared" si="73"/>
        <v>隆林县</v>
      </c>
      <c r="N197" s="4" t="str">
        <f>"广西隆林各族自治县者浪乡者浪村那岩屯030号"</f>
        <v>广西隆林各族自治县者浪乡者浪村那岩屯030号</v>
      </c>
      <c r="O197" s="4" t="str">
        <f>"1258286860@qq.com"</f>
        <v>1258286860@qq.com</v>
      </c>
      <c r="P197" s="4">
        <f>""</f>
      </c>
      <c r="Q197" s="4" t="str">
        <f>"2017.06.01"</f>
        <v>2017.06.01</v>
      </c>
      <c r="R197" s="4" t="str">
        <f>"是"</f>
        <v>是</v>
      </c>
      <c r="S197" s="4" t="str">
        <f>"1:幼儿园"</f>
        <v>1:幼儿园</v>
      </c>
      <c r="T197" s="4" t="str">
        <f>"暂无"</f>
        <v>暂无</v>
      </c>
      <c r="U197" s="4" t="str">
        <f>"赞无"</f>
        <v>赞无</v>
      </c>
      <c r="V197" s="4" t="str">
        <f t="shared" si="70"/>
        <v>小学</v>
      </c>
      <c r="W197" s="4" t="str">
        <f t="shared" si="71"/>
        <v>102:语文</v>
      </c>
      <c r="X197" s="4" t="str">
        <f t="shared" si="74"/>
        <v>通过</v>
      </c>
    </row>
    <row r="198" spans="1:24" s="1" customFormat="1" ht="57">
      <c r="A198" s="4" t="str">
        <f>"18"</f>
        <v>18</v>
      </c>
      <c r="B198" s="4" t="str">
        <f>"韦圆"</f>
        <v>韦圆</v>
      </c>
      <c r="C198" s="4" t="str">
        <f t="shared" si="75"/>
        <v>女        </v>
      </c>
      <c r="D198" s="4" t="str">
        <f>"壮族"</f>
        <v>壮族</v>
      </c>
      <c r="E198" s="4" t="str">
        <f>"广西隆林"</f>
        <v>广西隆林</v>
      </c>
      <c r="F198" s="4" t="str">
        <f>"1991年04月"</f>
        <v>1991年04月</v>
      </c>
      <c r="G198" s="4" t="str">
        <f t="shared" si="72"/>
        <v>共青团员</v>
      </c>
      <c r="H198" s="4" t="str">
        <f>"452631199104151764"</f>
        <v>452631199104151764</v>
      </c>
      <c r="I198" s="4" t="str">
        <f>"百色学院汉语"</f>
        <v>百色学院汉语</v>
      </c>
      <c r="J198" s="4" t="str">
        <f>"汉语"</f>
        <v>汉语</v>
      </c>
      <c r="K198" s="4" t="str">
        <f>"专科无学位"</f>
        <v>专科无学位</v>
      </c>
      <c r="L198" s="4" t="str">
        <f>"18577696088"</f>
        <v>18577696088</v>
      </c>
      <c r="M198" s="4" t="str">
        <f t="shared" si="73"/>
        <v>隆林县</v>
      </c>
      <c r="N198" s="4" t="str">
        <f>"隆林县国土资源局一单元602"</f>
        <v>隆林县国土资源局一单元602</v>
      </c>
      <c r="O198" s="4" t="str">
        <f>"753840819@qq.com"</f>
        <v>753840819@qq.com</v>
      </c>
      <c r="P198" s="4" t="str">
        <f>"2012.09.01"</f>
        <v>2012.09.01</v>
      </c>
      <c r="Q198" s="4" t="str">
        <f>"2011.06.01"</f>
        <v>2011.06.01</v>
      </c>
      <c r="R198" s="4" t="str">
        <f>"不是"</f>
        <v>不是</v>
      </c>
      <c r="S198" s="4" t="str">
        <f>"3:初级中学"</f>
        <v>3:初级中学</v>
      </c>
      <c r="T198" s="4" t="str">
        <f>"20114580032000603"</f>
        <v>20114580032000603</v>
      </c>
      <c r="U198" s="4" t="str">
        <f>"106091201106000605"</f>
        <v>106091201106000605</v>
      </c>
      <c r="V198" s="4" t="str">
        <f t="shared" si="70"/>
        <v>小学</v>
      </c>
      <c r="W198" s="4" t="str">
        <f t="shared" si="71"/>
        <v>102:语文</v>
      </c>
      <c r="X198" s="4" t="str">
        <f t="shared" si="74"/>
        <v>通过</v>
      </c>
    </row>
    <row r="199" spans="1:24" s="1" customFormat="1" ht="57">
      <c r="A199" s="4" t="str">
        <f>"19"</f>
        <v>19</v>
      </c>
      <c r="B199" s="4" t="str">
        <f>"农永波"</f>
        <v>农永波</v>
      </c>
      <c r="C199" s="4" t="str">
        <f t="shared" si="75"/>
        <v>女        </v>
      </c>
      <c r="D199" s="4" t="str">
        <f>"壮族"</f>
        <v>壮族</v>
      </c>
      <c r="E199" s="4" t="str">
        <f>"广西隆林县"</f>
        <v>广西隆林县</v>
      </c>
      <c r="F199" s="4" t="str">
        <f>"1989年10月"</f>
        <v>1989年10月</v>
      </c>
      <c r="G199" s="4" t="str">
        <f>"中共党员"</f>
        <v>中共党员</v>
      </c>
      <c r="H199" s="4" t="str">
        <f>"452631198910170324"</f>
        <v>452631198910170324</v>
      </c>
      <c r="I199" s="4" t="str">
        <f>"百色学院学前教育专业"</f>
        <v>百色学院学前教育专业</v>
      </c>
      <c r="J199" s="4" t="str">
        <f>"学前教育专业"</f>
        <v>学前教育专业</v>
      </c>
      <c r="K199" s="4" t="str">
        <f>"专科无学位"</f>
        <v>专科无学位</v>
      </c>
      <c r="L199" s="4" t="str">
        <f>"18278674489"</f>
        <v>18278674489</v>
      </c>
      <c r="M199" s="4" t="str">
        <f t="shared" si="73"/>
        <v>隆林县</v>
      </c>
      <c r="N199" s="4" t="str">
        <f>"广西隆林县桠杈镇纳贡村三队"</f>
        <v>广西隆林县桠杈镇纳贡村三队</v>
      </c>
      <c r="O199" s="4" t="str">
        <f>"649932521@qq.com"</f>
        <v>649932521@qq.com</v>
      </c>
      <c r="P199" s="4" t="str">
        <f>"2011.08.01"</f>
        <v>2011.08.01</v>
      </c>
      <c r="Q199" s="4" t="str">
        <f>"2011.06.01"</f>
        <v>2011.06.01</v>
      </c>
      <c r="R199" s="4" t="str">
        <f>"是"</f>
        <v>是</v>
      </c>
      <c r="S199" s="4" t="str">
        <f>"2:小学"</f>
        <v>2:小学</v>
      </c>
      <c r="T199" s="4" t="str">
        <f>"20114580522000026"</f>
        <v>20114580522000026</v>
      </c>
      <c r="U199" s="4" t="str">
        <f>"106091201106000218"</f>
        <v>106091201106000218</v>
      </c>
      <c r="V199" s="4" t="str">
        <f t="shared" si="70"/>
        <v>小学</v>
      </c>
      <c r="W199" s="4" t="str">
        <f t="shared" si="71"/>
        <v>102:语文</v>
      </c>
      <c r="X199" s="4" t="str">
        <f t="shared" si="74"/>
        <v>通过</v>
      </c>
    </row>
    <row r="200" spans="1:24" s="1" customFormat="1" ht="71.25">
      <c r="A200" s="4" t="str">
        <f>"20"</f>
        <v>20</v>
      </c>
      <c r="B200" s="4" t="str">
        <f>"文英"</f>
        <v>文英</v>
      </c>
      <c r="C200" s="4" t="str">
        <f t="shared" si="75"/>
        <v>女        </v>
      </c>
      <c r="D200" s="4" t="str">
        <f>"汉族"</f>
        <v>汉族</v>
      </c>
      <c r="E200" s="4" t="str">
        <f>"广西隆林"</f>
        <v>广西隆林</v>
      </c>
      <c r="F200" s="4" t="str">
        <f>"1991年11月"</f>
        <v>1991年11月</v>
      </c>
      <c r="G200" s="4" t="str">
        <f aca="true" t="shared" si="76" ref="G200:G206">"共青团员"</f>
        <v>共青团员</v>
      </c>
      <c r="H200" s="4" t="str">
        <f>"452631199111121045"</f>
        <v>452631199111121045</v>
      </c>
      <c r="I200" s="4" t="str">
        <f>"广西民族大学相思湖学院汉语言文学"</f>
        <v>广西民族大学相思湖学院汉语言文学</v>
      </c>
      <c r="J200" s="4" t="str">
        <f>"汉语言文学"</f>
        <v>汉语言文学</v>
      </c>
      <c r="K200" s="4" t="str">
        <f>"本科学士"</f>
        <v>本科学士</v>
      </c>
      <c r="L200" s="4" t="str">
        <f>"18278691529"</f>
        <v>18278691529</v>
      </c>
      <c r="M200" s="4" t="str">
        <f t="shared" si="73"/>
        <v>隆林县</v>
      </c>
      <c r="N200" s="4" t="str">
        <f>"广西百色市隆林县隆或乡沙保村小毛草坝屯"</f>
        <v>广西百色市隆林县隆或乡沙保村小毛草坝屯</v>
      </c>
      <c r="O200" s="4" t="str">
        <f>"605356782@qq.com"</f>
        <v>605356782@qq.com</v>
      </c>
      <c r="P200" s="4" t="str">
        <f>"2014.10.01"</f>
        <v>2014.10.01</v>
      </c>
      <c r="Q200" s="4" t="str">
        <f>"2014.06.01"</f>
        <v>2014.06.01</v>
      </c>
      <c r="R200" s="4" t="str">
        <f>"不是"</f>
        <v>不是</v>
      </c>
      <c r="S200" s="4" t="str">
        <f>"2:小学"</f>
        <v>2:小学</v>
      </c>
      <c r="T200" s="4" t="str">
        <f>"20164580522000029"</f>
        <v>20164580522000029</v>
      </c>
      <c r="U200" s="4" t="str">
        <f>"136401201405001083"</f>
        <v>136401201405001083</v>
      </c>
      <c r="V200" s="4" t="str">
        <f t="shared" si="70"/>
        <v>小学</v>
      </c>
      <c r="W200" s="4" t="str">
        <f t="shared" si="71"/>
        <v>102:语文</v>
      </c>
      <c r="X200" s="4" t="str">
        <f t="shared" si="74"/>
        <v>通过</v>
      </c>
    </row>
    <row r="201" spans="1:24" s="1" customFormat="1" ht="57">
      <c r="A201" s="4" t="str">
        <f>"21"</f>
        <v>21</v>
      </c>
      <c r="B201" s="4" t="str">
        <f>"覃敏"</f>
        <v>覃敏</v>
      </c>
      <c r="C201" s="4" t="str">
        <f t="shared" si="75"/>
        <v>女        </v>
      </c>
      <c r="D201" s="4" t="str">
        <f>"壮族"</f>
        <v>壮族</v>
      </c>
      <c r="E201" s="4" t="str">
        <f>"广西省百色市隆林县"</f>
        <v>广西省百色市隆林县</v>
      </c>
      <c r="F201" s="4" t="str">
        <f>"1990年03月"</f>
        <v>1990年03月</v>
      </c>
      <c r="G201" s="4" t="str">
        <f t="shared" si="76"/>
        <v>共青团员</v>
      </c>
      <c r="H201" s="4" t="str">
        <f>"452631199003044601"</f>
        <v>452631199003044601</v>
      </c>
      <c r="I201" s="4" t="str">
        <f>"广西幼儿师范高等专科学校学前教育"</f>
        <v>广西幼儿师范高等专科学校学前教育</v>
      </c>
      <c r="J201" s="4" t="str">
        <f>"学前教育"</f>
        <v>学前教育</v>
      </c>
      <c r="K201" s="4" t="str">
        <f>"专科无学位"</f>
        <v>专科无学位</v>
      </c>
      <c r="L201" s="4" t="str">
        <f>"18977640160"</f>
        <v>18977640160</v>
      </c>
      <c r="M201" s="4" t="str">
        <f t="shared" si="73"/>
        <v>隆林县</v>
      </c>
      <c r="N201" s="4" t="str">
        <f>"广西省百色市隆林县"</f>
        <v>广西省百色市隆林县</v>
      </c>
      <c r="O201" s="4" t="str">
        <f>"477923448@qq.com"</f>
        <v>477923448@qq.com</v>
      </c>
      <c r="P201" s="4" t="str">
        <f>"2012.09.01"</f>
        <v>2012.09.01</v>
      </c>
      <c r="Q201" s="4" t="str">
        <f>"2013.07.01"</f>
        <v>2013.07.01</v>
      </c>
      <c r="R201" s="4" t="str">
        <f aca="true" t="shared" si="77" ref="R201:R209">"是"</f>
        <v>是</v>
      </c>
      <c r="S201" s="4" t="str">
        <f>"1:幼儿园"</f>
        <v>1:幼儿园</v>
      </c>
      <c r="T201" s="4" t="str">
        <f>"2017届毕业生填暂无"</f>
        <v>2017届毕业生填暂无</v>
      </c>
      <c r="U201" s="4" t="str">
        <f>"142201201306000081"</f>
        <v>142201201306000081</v>
      </c>
      <c r="V201" s="4" t="str">
        <f t="shared" si="70"/>
        <v>小学</v>
      </c>
      <c r="W201" s="4" t="str">
        <f t="shared" si="71"/>
        <v>102:语文</v>
      </c>
      <c r="X201" s="4" t="str">
        <f t="shared" si="74"/>
        <v>通过</v>
      </c>
    </row>
    <row r="202" spans="1:24" s="1" customFormat="1" ht="71.25">
      <c r="A202" s="4" t="str">
        <f>"22"</f>
        <v>22</v>
      </c>
      <c r="B202" s="4" t="str">
        <f>"李艳"</f>
        <v>李艳</v>
      </c>
      <c r="C202" s="4" t="str">
        <f t="shared" si="75"/>
        <v>女        </v>
      </c>
      <c r="D202" s="4" t="str">
        <f>"汉族"</f>
        <v>汉族</v>
      </c>
      <c r="E202" s="4" t="str">
        <f>"贵州望谟"</f>
        <v>贵州望谟</v>
      </c>
      <c r="F202" s="4" t="str">
        <f>"1993年12月"</f>
        <v>1993年12月</v>
      </c>
      <c r="G202" s="4" t="str">
        <f t="shared" si="76"/>
        <v>共青团员</v>
      </c>
      <c r="H202" s="4" t="str">
        <f>"522326199312081642"</f>
        <v>522326199312081642</v>
      </c>
      <c r="I202" s="4" t="str">
        <f>"黔南民族幼儿师范高等专科学校语文教育"</f>
        <v>黔南民族幼儿师范高等专科学校语文教育</v>
      </c>
      <c r="J202" s="4" t="str">
        <f>"语文教育"</f>
        <v>语文教育</v>
      </c>
      <c r="K202" s="4" t="str">
        <f>"专科无学位"</f>
        <v>专科无学位</v>
      </c>
      <c r="L202" s="4" t="str">
        <f>"18744784776"</f>
        <v>18744784776</v>
      </c>
      <c r="M202" s="4" t="str">
        <f t="shared" si="73"/>
        <v>隆林县</v>
      </c>
      <c r="N202" s="4" t="str">
        <f>"贵州省望谟县新屯镇利八村五组"</f>
        <v>贵州省望谟县新屯镇利八村五组</v>
      </c>
      <c r="O202" s="4" t="str">
        <f>"1264866341@qq.com"</f>
        <v>1264866341@qq.com</v>
      </c>
      <c r="P202" s="4">
        <f>""</f>
      </c>
      <c r="Q202" s="4" t="str">
        <f>"2017.07.01"</f>
        <v>2017.07.01</v>
      </c>
      <c r="R202" s="4" t="str">
        <f t="shared" si="77"/>
        <v>是</v>
      </c>
      <c r="S202" s="4" t="str">
        <f>"2:小学"</f>
        <v>2:小学</v>
      </c>
      <c r="T202" s="4" t="str">
        <f>"无"</f>
        <v>无</v>
      </c>
      <c r="U202" s="4" t="str">
        <f>"无"</f>
        <v>无</v>
      </c>
      <c r="V202" s="4" t="str">
        <f t="shared" si="70"/>
        <v>小学</v>
      </c>
      <c r="W202" s="4" t="str">
        <f t="shared" si="71"/>
        <v>102:语文</v>
      </c>
      <c r="X202" s="4" t="str">
        <f t="shared" si="74"/>
        <v>通过</v>
      </c>
    </row>
    <row r="203" spans="1:24" s="1" customFormat="1" ht="71.25">
      <c r="A203" s="4" t="str">
        <f>"23"</f>
        <v>23</v>
      </c>
      <c r="B203" s="4" t="str">
        <f>"张仁米"</f>
        <v>张仁米</v>
      </c>
      <c r="C203" s="4" t="str">
        <f t="shared" si="75"/>
        <v>女        </v>
      </c>
      <c r="D203" s="4" t="str">
        <f>"汉族"</f>
        <v>汉族</v>
      </c>
      <c r="E203" s="4" t="str">
        <f>"贵州省威宁"</f>
        <v>贵州省威宁</v>
      </c>
      <c r="F203" s="4" t="str">
        <f>"1992年12月"</f>
        <v>1992年12月</v>
      </c>
      <c r="G203" s="4" t="str">
        <f t="shared" si="76"/>
        <v>共青团员</v>
      </c>
      <c r="H203" s="4" t="str">
        <f>"522427199212144484"</f>
        <v>522427199212144484</v>
      </c>
      <c r="I203" s="4" t="str">
        <f>"兴义民族师范学院小学教育"</f>
        <v>兴义民族师范学院小学教育</v>
      </c>
      <c r="J203" s="4" t="str">
        <f>"小学教育"</f>
        <v>小学教育</v>
      </c>
      <c r="K203" s="4" t="str">
        <f>"本科学士"</f>
        <v>本科学士</v>
      </c>
      <c r="L203" s="4" t="str">
        <f>"18785936331"</f>
        <v>18785936331</v>
      </c>
      <c r="M203" s="4" t="str">
        <f t="shared" si="73"/>
        <v>隆林县</v>
      </c>
      <c r="N203" s="4" t="str">
        <f>"贵州省威宁彝族回族苗族自治县坝海村七组"</f>
        <v>贵州省威宁彝族回族苗族自治县坝海村七组</v>
      </c>
      <c r="O203" s="4" t="str">
        <f>"1689558621@qq.com"</f>
        <v>1689558621@qq.com</v>
      </c>
      <c r="P203" s="4">
        <f>""</f>
      </c>
      <c r="Q203" s="4" t="str">
        <f>"2017.06.01"</f>
        <v>2017.06.01</v>
      </c>
      <c r="R203" s="4" t="str">
        <f t="shared" si="77"/>
        <v>是</v>
      </c>
      <c r="S203" s="4" t="str">
        <f>"2:小学"</f>
        <v>2:小学</v>
      </c>
      <c r="T203" s="4" t="str">
        <f>"2017届毕业生填暂无"</f>
        <v>2017届毕业生填暂无</v>
      </c>
      <c r="U203" s="4" t="str">
        <f>"2017届毕业生填暂无"</f>
        <v>2017届毕业生填暂无</v>
      </c>
      <c r="V203" s="4" t="str">
        <f t="shared" si="70"/>
        <v>小学</v>
      </c>
      <c r="W203" s="4" t="str">
        <f t="shared" si="71"/>
        <v>102:语文</v>
      </c>
      <c r="X203" s="4" t="str">
        <f t="shared" si="74"/>
        <v>通过</v>
      </c>
    </row>
    <row r="204" spans="1:24" s="1" customFormat="1" ht="71.25">
      <c r="A204" s="4" t="str">
        <f>"24"</f>
        <v>24</v>
      </c>
      <c r="B204" s="4" t="str">
        <f>"田维凤"</f>
        <v>田维凤</v>
      </c>
      <c r="C204" s="4" t="str">
        <f t="shared" si="75"/>
        <v>女        </v>
      </c>
      <c r="D204" s="4" t="str">
        <f>"汉族"</f>
        <v>汉族</v>
      </c>
      <c r="E204" s="4" t="str">
        <f>"广西隆林"</f>
        <v>广西隆林</v>
      </c>
      <c r="F204" s="4" t="str">
        <f>"1991年03月"</f>
        <v>1991年03月</v>
      </c>
      <c r="G204" s="4" t="str">
        <f t="shared" si="76"/>
        <v>共青团员</v>
      </c>
      <c r="H204" s="4" t="str">
        <f>"452631199103124887"</f>
        <v>452631199103124887</v>
      </c>
      <c r="I204" s="4" t="str">
        <f>"广西科技大学汉语言文学"</f>
        <v>广西科技大学汉语言文学</v>
      </c>
      <c r="J204" s="4" t="str">
        <f>"汉语言文学"</f>
        <v>汉语言文学</v>
      </c>
      <c r="K204" s="4" t="str">
        <f>"本科无学位"</f>
        <v>本科无学位</v>
      </c>
      <c r="L204" s="4" t="str">
        <f>"18587610148"</f>
        <v>18587610148</v>
      </c>
      <c r="M204" s="4" t="str">
        <f t="shared" si="73"/>
        <v>隆林县</v>
      </c>
      <c r="N204" s="4" t="str">
        <f>"广西隆林各组自治县介廷乡老寨村伟才屯"</f>
        <v>广西隆林各组自治县介廷乡老寨村伟才屯</v>
      </c>
      <c r="O204" s="4" t="str">
        <f>"1303396104@qq.com"</f>
        <v>1303396104@qq.com</v>
      </c>
      <c r="P204" s="4" t="str">
        <f>"2016.08.01"</f>
        <v>2016.08.01</v>
      </c>
      <c r="Q204" s="4" t="str">
        <f>"2015.06.01"</f>
        <v>2015.06.01</v>
      </c>
      <c r="R204" s="4" t="str">
        <f t="shared" si="77"/>
        <v>是</v>
      </c>
      <c r="S204" s="4" t="str">
        <f>"2:小学"</f>
        <v>2:小学</v>
      </c>
      <c r="T204" s="4" t="str">
        <f>"20154520022000175"</f>
        <v>20154520022000175</v>
      </c>
      <c r="U204" s="4" t="str">
        <f>"65450201131001106"</f>
        <v>65450201131001106</v>
      </c>
      <c r="V204" s="4" t="str">
        <f t="shared" si="70"/>
        <v>小学</v>
      </c>
      <c r="W204" s="4" t="str">
        <f t="shared" si="71"/>
        <v>102:语文</v>
      </c>
      <c r="X204" s="4" t="str">
        <f t="shared" si="74"/>
        <v>通过</v>
      </c>
    </row>
    <row r="205" spans="1:24" s="1" customFormat="1" ht="71.25">
      <c r="A205" s="4" t="str">
        <f>"25"</f>
        <v>25</v>
      </c>
      <c r="B205" s="4" t="str">
        <f>"杜家胜"</f>
        <v>杜家胜</v>
      </c>
      <c r="C205" s="4" t="str">
        <f>"男        "</f>
        <v>男        </v>
      </c>
      <c r="D205" s="4" t="str">
        <f>"彝族"</f>
        <v>彝族</v>
      </c>
      <c r="E205" s="4" t="str">
        <f>"贵州省贞丰县"</f>
        <v>贵州省贞丰县</v>
      </c>
      <c r="F205" s="4" t="str">
        <f>"1993年02月"</f>
        <v>1993年02月</v>
      </c>
      <c r="G205" s="4" t="str">
        <f t="shared" si="76"/>
        <v>共青团员</v>
      </c>
      <c r="H205" s="4" t="str">
        <f>"522325199302143612"</f>
        <v>522325199302143612</v>
      </c>
      <c r="I205" s="4" t="str">
        <f>"兴义民族师范学院汉语言文学"</f>
        <v>兴义民族师范学院汉语言文学</v>
      </c>
      <c r="J205" s="4" t="str">
        <f>"汉语言文学"</f>
        <v>汉语言文学</v>
      </c>
      <c r="K205" s="4" t="str">
        <f>"本科学士"</f>
        <v>本科学士</v>
      </c>
      <c r="L205" s="4" t="str">
        <f>"15208596194"</f>
        <v>15208596194</v>
      </c>
      <c r="M205" s="4" t="str">
        <f t="shared" si="73"/>
        <v>隆林县</v>
      </c>
      <c r="N205" s="4" t="str">
        <f>"贵州省贞丰县平街乡小花江村麻凼组"</f>
        <v>贵州省贞丰县平街乡小花江村麻凼组</v>
      </c>
      <c r="O205" s="4" t="str">
        <f>"2714355636@qq.com"</f>
        <v>2714355636@qq.com</v>
      </c>
      <c r="P205" s="4">
        <f>""</f>
      </c>
      <c r="Q205" s="4" t="str">
        <f>"2017.07.01"</f>
        <v>2017.07.01</v>
      </c>
      <c r="R205" s="4" t="str">
        <f t="shared" si="77"/>
        <v>是</v>
      </c>
      <c r="S205" s="4" t="str">
        <f>"4:高级中学"</f>
        <v>4:高级中学</v>
      </c>
      <c r="T205" s="4" t="str">
        <f>"2017届毕业生填暂无"</f>
        <v>2017届毕业生填暂无</v>
      </c>
      <c r="U205" s="4" t="str">
        <f>"2017届毕业生填暂无"</f>
        <v>2017届毕业生填暂无</v>
      </c>
      <c r="V205" s="4" t="str">
        <f t="shared" si="70"/>
        <v>小学</v>
      </c>
      <c r="W205" s="4" t="str">
        <f t="shared" si="71"/>
        <v>102:语文</v>
      </c>
      <c r="X205" s="4" t="str">
        <f t="shared" si="74"/>
        <v>通过</v>
      </c>
    </row>
    <row r="206" spans="1:24" s="1" customFormat="1" ht="85.5">
      <c r="A206" s="4" t="str">
        <f>"26"</f>
        <v>26</v>
      </c>
      <c r="B206" s="4" t="str">
        <f>"邓燕"</f>
        <v>邓燕</v>
      </c>
      <c r="C206" s="4" t="str">
        <f aca="true" t="shared" si="78" ref="C206:C215">"女        "</f>
        <v>女        </v>
      </c>
      <c r="D206" s="4" t="str">
        <f>"汉族"</f>
        <v>汉族</v>
      </c>
      <c r="E206" s="4" t="str">
        <f>"云南富源"</f>
        <v>云南富源</v>
      </c>
      <c r="F206" s="4" t="str">
        <f>"1997年07月"</f>
        <v>1997年07月</v>
      </c>
      <c r="G206" s="4" t="str">
        <f t="shared" si="76"/>
        <v>共青团员</v>
      </c>
      <c r="H206" s="4" t="str">
        <f>"53222519970712132X"</f>
        <v>53222519970712132X</v>
      </c>
      <c r="I206" s="4" t="str">
        <f>"文山学院初等教育文科"</f>
        <v>文山学院初等教育文科</v>
      </c>
      <c r="J206" s="4" t="str">
        <f>"初等教育文科"</f>
        <v>初等教育文科</v>
      </c>
      <c r="K206" s="4" t="str">
        <f>"专科无学位"</f>
        <v>专科无学位</v>
      </c>
      <c r="L206" s="4" t="str">
        <f>"15758790725"</f>
        <v>15758790725</v>
      </c>
      <c r="M206" s="4" t="str">
        <f t="shared" si="73"/>
        <v>隆林县</v>
      </c>
      <c r="N206" s="4" t="str">
        <f>"云南省曲靖市富源县富村镇祖德村委会大对门村18号"</f>
        <v>云南省曲靖市富源县富村镇祖德村委会大对门村18号</v>
      </c>
      <c r="O206" s="4" t="str">
        <f>"1983057979@qq.com"</f>
        <v>1983057979@qq.com</v>
      </c>
      <c r="P206" s="4">
        <f>""</f>
      </c>
      <c r="Q206" s="4" t="str">
        <f>"2017.07.01"</f>
        <v>2017.07.01</v>
      </c>
      <c r="R206" s="4" t="str">
        <f t="shared" si="77"/>
        <v>是</v>
      </c>
      <c r="S206" s="4" t="str">
        <f aca="true" t="shared" si="79" ref="S206:S212">"2:小学"</f>
        <v>2:小学</v>
      </c>
      <c r="T206" s="4" t="str">
        <f>"2017届毕业生填暂无"</f>
        <v>2017届毕业生填暂无</v>
      </c>
      <c r="U206" s="4" t="str">
        <f>"2017届毕业生填暂无"</f>
        <v>2017届毕业生填暂无</v>
      </c>
      <c r="V206" s="4" t="str">
        <f t="shared" si="70"/>
        <v>小学</v>
      </c>
      <c r="W206" s="4" t="str">
        <f t="shared" si="71"/>
        <v>102:语文</v>
      </c>
      <c r="X206" s="4" t="str">
        <f t="shared" si="74"/>
        <v>通过</v>
      </c>
    </row>
    <row r="207" spans="1:24" s="1" customFormat="1" ht="57">
      <c r="A207" s="4" t="str">
        <f>"27"</f>
        <v>27</v>
      </c>
      <c r="B207" s="4" t="str">
        <f>"钏翠雪"</f>
        <v>钏翠雪</v>
      </c>
      <c r="C207" s="4" t="str">
        <f t="shared" si="78"/>
        <v>女        </v>
      </c>
      <c r="D207" s="4" t="str">
        <f>"汉族"</f>
        <v>汉族</v>
      </c>
      <c r="E207" s="4" t="str">
        <f>"云南大理"</f>
        <v>云南大理</v>
      </c>
      <c r="F207" s="4" t="str">
        <f>"1989年06月"</f>
        <v>1989年06月</v>
      </c>
      <c r="G207" s="4" t="str">
        <f>"中共党员"</f>
        <v>中共党员</v>
      </c>
      <c r="H207" s="4" t="str">
        <f>"532927198906060925"</f>
        <v>532927198906060925</v>
      </c>
      <c r="I207" s="4" t="str">
        <f>"红河学院小学教育文科方向"</f>
        <v>红河学院小学教育文科方向</v>
      </c>
      <c r="J207" s="4" t="str">
        <f>"小学教育文科方向"</f>
        <v>小学教育文科方向</v>
      </c>
      <c r="K207" s="4" t="str">
        <f>"本科学士"</f>
        <v>本科学士</v>
      </c>
      <c r="L207" s="4" t="str">
        <f>"15287322538"</f>
        <v>15287322538</v>
      </c>
      <c r="M207" s="4" t="str">
        <f t="shared" si="73"/>
        <v>隆林县</v>
      </c>
      <c r="N207" s="4">
        <f>""</f>
      </c>
      <c r="O207" s="4" t="str">
        <f>"1445176684@qq.com"</f>
        <v>1445176684@qq.com</v>
      </c>
      <c r="P207" s="4" t="str">
        <f>"2014.09.01"</f>
        <v>2014.09.01</v>
      </c>
      <c r="Q207" s="4" t="str">
        <f>"2014.07.01"</f>
        <v>2014.07.01</v>
      </c>
      <c r="R207" s="4" t="str">
        <f t="shared" si="77"/>
        <v>是</v>
      </c>
      <c r="S207" s="4" t="str">
        <f t="shared" si="79"/>
        <v>2:小学</v>
      </c>
      <c r="T207" s="4" t="str">
        <f>"20145306222000041"</f>
        <v>20145306222000041</v>
      </c>
      <c r="U207" s="4" t="str">
        <f>"106871201405002243"</f>
        <v>106871201405002243</v>
      </c>
      <c r="V207" s="4" t="str">
        <f t="shared" si="70"/>
        <v>小学</v>
      </c>
      <c r="W207" s="4" t="str">
        <f t="shared" si="71"/>
        <v>102:语文</v>
      </c>
      <c r="X207" s="4" t="str">
        <f t="shared" si="74"/>
        <v>通过</v>
      </c>
    </row>
    <row r="208" spans="1:24" s="1" customFormat="1" ht="85.5">
      <c r="A208" s="4" t="str">
        <f>"28"</f>
        <v>28</v>
      </c>
      <c r="B208" s="4" t="str">
        <f>"梁梅凤"</f>
        <v>梁梅凤</v>
      </c>
      <c r="C208" s="4" t="str">
        <f t="shared" si="78"/>
        <v>女        </v>
      </c>
      <c r="D208" s="4" t="str">
        <f>"壮族"</f>
        <v>壮族</v>
      </c>
      <c r="E208" s="4" t="str">
        <f>"广西百色市隆林县"</f>
        <v>广西百色市隆林县</v>
      </c>
      <c r="F208" s="4" t="str">
        <f>"1992年12月"</f>
        <v>1992年12月</v>
      </c>
      <c r="G208" s="4" t="str">
        <f>"共青团员"</f>
        <v>共青团员</v>
      </c>
      <c r="H208" s="4" t="str">
        <f>"452631199212251826"</f>
        <v>452631199212251826</v>
      </c>
      <c r="I208" s="4" t="str">
        <f>"广西幼儿师范高等专科学校英语教育学前教育方向"</f>
        <v>广西幼儿师范高等专科学校英语教育学前教育方向</v>
      </c>
      <c r="J208" s="4" t="str">
        <f>"英语教育学前教育方向"</f>
        <v>英语教育学前教育方向</v>
      </c>
      <c r="K208" s="4" t="str">
        <f>"专科无学位"</f>
        <v>专科无学位</v>
      </c>
      <c r="L208" s="4" t="str">
        <f>"18276651849"</f>
        <v>18276651849</v>
      </c>
      <c r="M208" s="4" t="str">
        <f t="shared" si="73"/>
        <v>隆林县</v>
      </c>
      <c r="N208" s="4" t="str">
        <f>"广西百色市隆林县坡瓜屯"</f>
        <v>广西百色市隆林县坡瓜屯</v>
      </c>
      <c r="O208" s="4" t="str">
        <f>"810653146@qq.com"</f>
        <v>810653146@qq.com</v>
      </c>
      <c r="P208" s="4" t="str">
        <f>"2014.03.01"</f>
        <v>2014.03.01</v>
      </c>
      <c r="Q208" s="4" t="str">
        <f>"2014.06.01"</f>
        <v>2014.06.01</v>
      </c>
      <c r="R208" s="4" t="str">
        <f t="shared" si="77"/>
        <v>是</v>
      </c>
      <c r="S208" s="4" t="str">
        <f t="shared" si="79"/>
        <v>2:小学</v>
      </c>
      <c r="T208" s="4" t="str">
        <f>"2016452032908"</f>
        <v>2016452032908</v>
      </c>
      <c r="U208" s="4" t="str">
        <f>"142201201406001213"</f>
        <v>142201201406001213</v>
      </c>
      <c r="V208" s="4" t="str">
        <f t="shared" si="70"/>
        <v>小学</v>
      </c>
      <c r="W208" s="4" t="str">
        <f t="shared" si="71"/>
        <v>102:语文</v>
      </c>
      <c r="X208" s="4" t="str">
        <f t="shared" si="74"/>
        <v>通过</v>
      </c>
    </row>
    <row r="209" spans="1:24" s="1" customFormat="1" ht="85.5">
      <c r="A209" s="4" t="str">
        <f>"29"</f>
        <v>29</v>
      </c>
      <c r="B209" s="4" t="str">
        <f>"李立"</f>
        <v>李立</v>
      </c>
      <c r="C209" s="4" t="str">
        <f t="shared" si="78"/>
        <v>女        </v>
      </c>
      <c r="D209" s="4" t="str">
        <f>"汉族"</f>
        <v>汉族</v>
      </c>
      <c r="E209" s="4" t="str">
        <f>"云南省曲靖市富源县"</f>
        <v>云南省曲靖市富源县</v>
      </c>
      <c r="F209" s="4" t="str">
        <f>"1993年05月"</f>
        <v>1993年05月</v>
      </c>
      <c r="G209" s="4" t="str">
        <f>"共青团员"</f>
        <v>共青团员</v>
      </c>
      <c r="H209" s="4" t="str">
        <f>"530325199305251125"</f>
        <v>530325199305251125</v>
      </c>
      <c r="I209" s="4" t="str">
        <f>"普洱学院初等教育文科方向"</f>
        <v>普洱学院初等教育文科方向</v>
      </c>
      <c r="J209" s="4" t="str">
        <f>"初等教育文科方向"</f>
        <v>初等教育文科方向</v>
      </c>
      <c r="K209" s="4" t="str">
        <f>"专科无学位"</f>
        <v>专科无学位</v>
      </c>
      <c r="L209" s="4" t="str">
        <f>"15125574595"</f>
        <v>15125574595</v>
      </c>
      <c r="M209" s="4" t="str">
        <f t="shared" si="73"/>
        <v>隆林县</v>
      </c>
      <c r="N209" s="4" t="str">
        <f>"云南省曲靖市富源县营上镇海戛村委会上海戛村"</f>
        <v>云南省曲靖市富源县营上镇海戛村委会上海戛村</v>
      </c>
      <c r="O209" s="4" t="str">
        <f>"1251854123@qq.com"</f>
        <v>1251854123@qq.com</v>
      </c>
      <c r="P209" s="4" t="str">
        <f>"2015.08.01"</f>
        <v>2015.08.01</v>
      </c>
      <c r="Q209" s="4" t="str">
        <f>"2015.07.01"</f>
        <v>2015.07.01</v>
      </c>
      <c r="R209" s="4" t="str">
        <f t="shared" si="77"/>
        <v>是</v>
      </c>
      <c r="S209" s="4" t="str">
        <f t="shared" si="79"/>
        <v>2:小学</v>
      </c>
      <c r="T209" s="4" t="str">
        <f>"20165303222000217"</f>
        <v>20165303222000217</v>
      </c>
      <c r="U209" s="4" t="str">
        <f>"106851201506001176"</f>
        <v>106851201506001176</v>
      </c>
      <c r="V209" s="4" t="str">
        <f t="shared" si="70"/>
        <v>小学</v>
      </c>
      <c r="W209" s="4" t="str">
        <f t="shared" si="71"/>
        <v>102:语文</v>
      </c>
      <c r="X209" s="4" t="str">
        <f t="shared" si="74"/>
        <v>通过</v>
      </c>
    </row>
    <row r="210" spans="1:24" s="1" customFormat="1" ht="42.75">
      <c r="A210" s="4" t="str">
        <f>"30"</f>
        <v>30</v>
      </c>
      <c r="B210" s="4" t="str">
        <f>"王燕妮"</f>
        <v>王燕妮</v>
      </c>
      <c r="C210" s="4" t="str">
        <f t="shared" si="78"/>
        <v>女        </v>
      </c>
      <c r="D210" s="4" t="str">
        <f>"汉族"</f>
        <v>汉族</v>
      </c>
      <c r="E210" s="4" t="str">
        <f>"广西隆林"</f>
        <v>广西隆林</v>
      </c>
      <c r="F210" s="4" t="str">
        <f>"1993年06月"</f>
        <v>1993年06月</v>
      </c>
      <c r="G210" s="4" t="str">
        <f>"共青团员"</f>
        <v>共青团员</v>
      </c>
      <c r="H210" s="4" t="str">
        <f>"452631199306163886"</f>
        <v>452631199306163886</v>
      </c>
      <c r="I210" s="4" t="str">
        <f>"玉林师范学院生物技术"</f>
        <v>玉林师范学院生物技术</v>
      </c>
      <c r="J210" s="4" t="str">
        <f>"生物技术"</f>
        <v>生物技术</v>
      </c>
      <c r="K210" s="4" t="str">
        <f>"本科学士"</f>
        <v>本科学士</v>
      </c>
      <c r="L210" s="4" t="str">
        <f>"15878645074"</f>
        <v>15878645074</v>
      </c>
      <c r="M210" s="4" t="str">
        <f t="shared" si="73"/>
        <v>隆林县</v>
      </c>
      <c r="N210" s="4" t="str">
        <f>"广西隆林县水岸华庭小区"</f>
        <v>广西隆林县水岸华庭小区</v>
      </c>
      <c r="O210" s="4" t="str">
        <f>"1109672064@qq.com"</f>
        <v>1109672064@qq.com</v>
      </c>
      <c r="P210" s="4" t="str">
        <f>"2017.05.01"</f>
        <v>2017.05.01</v>
      </c>
      <c r="Q210" s="4" t="str">
        <f>"2017.06.01"</f>
        <v>2017.06.01</v>
      </c>
      <c r="R210" s="4" t="str">
        <f>"不是"</f>
        <v>不是</v>
      </c>
      <c r="S210" s="4" t="str">
        <f t="shared" si="79"/>
        <v>2:小学</v>
      </c>
      <c r="T210" s="4" t="str">
        <f>"暂无"</f>
        <v>暂无</v>
      </c>
      <c r="U210" s="4" t="str">
        <f>"暂无"</f>
        <v>暂无</v>
      </c>
      <c r="V210" s="4" t="str">
        <f t="shared" si="70"/>
        <v>小学</v>
      </c>
      <c r="W210" s="4" t="str">
        <f t="shared" si="71"/>
        <v>102:语文</v>
      </c>
      <c r="X210" s="4" t="str">
        <f t="shared" si="74"/>
        <v>通过</v>
      </c>
    </row>
    <row r="211" spans="1:24" s="1" customFormat="1" ht="85.5">
      <c r="A211" s="4" t="str">
        <f>"31"</f>
        <v>31</v>
      </c>
      <c r="B211" s="4" t="str">
        <f>"莫冰珑"</f>
        <v>莫冰珑</v>
      </c>
      <c r="C211" s="4" t="str">
        <f t="shared" si="78"/>
        <v>女        </v>
      </c>
      <c r="D211" s="4" t="str">
        <f>"壮族"</f>
        <v>壮族</v>
      </c>
      <c r="E211" s="4" t="str">
        <f>"广西隆林"</f>
        <v>广西隆林</v>
      </c>
      <c r="F211" s="4" t="str">
        <f>"1994年04月"</f>
        <v>1994年04月</v>
      </c>
      <c r="G211" s="4" t="str">
        <f>"共青团员"</f>
        <v>共青团员</v>
      </c>
      <c r="H211" s="4" t="str">
        <f>"452631199404244567"</f>
        <v>452631199404244567</v>
      </c>
      <c r="I211" s="4" t="str">
        <f>"广西师范大学教育管理专业"</f>
        <v>广西师范大学教育管理专业</v>
      </c>
      <c r="J211" s="4" t="str">
        <f>"教育管理专业"</f>
        <v>教育管理专业</v>
      </c>
      <c r="K211" s="4" t="str">
        <f>"专科学士"</f>
        <v>专科学士</v>
      </c>
      <c r="L211" s="4" t="str">
        <f>"13557110955"</f>
        <v>13557110955</v>
      </c>
      <c r="M211" s="4" t="str">
        <f t="shared" si="73"/>
        <v>隆林县</v>
      </c>
      <c r="N211" s="4" t="str">
        <f>"广西省百色市隆林县岩茶乡岩茶村桥头屯五队39号"</f>
        <v>广西省百色市隆林县岩茶乡岩茶村桥头屯五队39号</v>
      </c>
      <c r="O211" s="4" t="str">
        <f>"23676815002@qq.com"</f>
        <v>23676815002@qq.com</v>
      </c>
      <c r="P211" s="4" t="str">
        <f>"2017.05.01"</f>
        <v>2017.05.01</v>
      </c>
      <c r="Q211" s="4" t="str">
        <f>"2017.07.01"</f>
        <v>2017.07.01</v>
      </c>
      <c r="R211" s="4" t="str">
        <f>"是"</f>
        <v>是</v>
      </c>
      <c r="S211" s="4" t="str">
        <f t="shared" si="79"/>
        <v>2:小学</v>
      </c>
      <c r="T211" s="4" t="str">
        <f>"暂无"</f>
        <v>暂无</v>
      </c>
      <c r="U211" s="4" t="str">
        <f>"暂无"</f>
        <v>暂无</v>
      </c>
      <c r="V211" s="4" t="str">
        <f t="shared" si="70"/>
        <v>小学</v>
      </c>
      <c r="W211" s="4" t="str">
        <f t="shared" si="71"/>
        <v>102:语文</v>
      </c>
      <c r="X211" s="4" t="str">
        <f t="shared" si="74"/>
        <v>通过</v>
      </c>
    </row>
    <row r="212" spans="1:24" s="1" customFormat="1" ht="57">
      <c r="A212" s="4" t="str">
        <f>"32"</f>
        <v>32</v>
      </c>
      <c r="B212" s="4" t="str">
        <f>"肖妮"</f>
        <v>肖妮</v>
      </c>
      <c r="C212" s="4" t="str">
        <f t="shared" si="78"/>
        <v>女        </v>
      </c>
      <c r="D212" s="4" t="str">
        <f>"汉族"</f>
        <v>汉族</v>
      </c>
      <c r="E212" s="4" t="str">
        <f>"四川岳池"</f>
        <v>四川岳池</v>
      </c>
      <c r="F212" s="4" t="str">
        <f>"1990年09月"</f>
        <v>1990年09月</v>
      </c>
      <c r="G212" s="4" t="str">
        <f>"中共党员"</f>
        <v>中共党员</v>
      </c>
      <c r="H212" s="4" t="str">
        <f>"51162119900901086X"</f>
        <v>51162119900901086X</v>
      </c>
      <c r="I212" s="4" t="str">
        <f>"广西教育学院应用英语"</f>
        <v>广西教育学院应用英语</v>
      </c>
      <c r="J212" s="4" t="str">
        <f>"应用英语"</f>
        <v>应用英语</v>
      </c>
      <c r="K212" s="4" t="str">
        <f aca="true" t="shared" si="80" ref="K212:K217">"专科无学位"</f>
        <v>专科无学位</v>
      </c>
      <c r="L212" s="4" t="str">
        <f>"15577681275"</f>
        <v>15577681275</v>
      </c>
      <c r="M212" s="4" t="str">
        <f t="shared" si="73"/>
        <v>隆林县</v>
      </c>
      <c r="N212" s="4" t="str">
        <f>"广西凌云县泗城镇解放社区福临小区"</f>
        <v>广西凌云县泗城镇解放社区福临小区</v>
      </c>
      <c r="O212" s="4" t="str">
        <f>"1173092669@qq.com"</f>
        <v>1173092669@qq.com</v>
      </c>
      <c r="P212" s="4" t="str">
        <f>"2014.04.01"</f>
        <v>2014.04.01</v>
      </c>
      <c r="Q212" s="4" t="str">
        <f>"2012.06.01"</f>
        <v>2012.06.01</v>
      </c>
      <c r="R212" s="4" t="str">
        <f>"不是"</f>
        <v>不是</v>
      </c>
      <c r="S212" s="4" t="str">
        <f t="shared" si="79"/>
        <v>2:小学</v>
      </c>
      <c r="T212" s="4" t="str">
        <f>"20144580222000006"</f>
        <v>20144580222000006</v>
      </c>
      <c r="U212" s="4" t="str">
        <f>"508701201206000400"</f>
        <v>508701201206000400</v>
      </c>
      <c r="V212" s="4" t="str">
        <f t="shared" si="70"/>
        <v>小学</v>
      </c>
      <c r="W212" s="4" t="str">
        <f t="shared" si="71"/>
        <v>102:语文</v>
      </c>
      <c r="X212" s="4" t="str">
        <f t="shared" si="74"/>
        <v>通过</v>
      </c>
    </row>
    <row r="213" spans="1:24" s="1" customFormat="1" ht="71.25">
      <c r="A213" s="4" t="str">
        <f>"33"</f>
        <v>33</v>
      </c>
      <c r="B213" s="4" t="str">
        <f>"郭蒙蒙"</f>
        <v>郭蒙蒙</v>
      </c>
      <c r="C213" s="4" t="str">
        <f t="shared" si="78"/>
        <v>女        </v>
      </c>
      <c r="D213" s="4" t="str">
        <f>"壮族"</f>
        <v>壮族</v>
      </c>
      <c r="E213" s="4" t="str">
        <f>"广西"</f>
        <v>广西</v>
      </c>
      <c r="F213" s="4" t="str">
        <f>"1995年05月"</f>
        <v>1995年05月</v>
      </c>
      <c r="G213" s="4" t="str">
        <f>"群众"</f>
        <v>群众</v>
      </c>
      <c r="H213" s="4" t="str">
        <f>"45263119950506002x"</f>
        <v>45263119950506002x</v>
      </c>
      <c r="I213" s="4" t="str">
        <f>"广西民族大学学前教育"</f>
        <v>广西民族大学学前教育</v>
      </c>
      <c r="J213" s="4" t="str">
        <f>"学前教育"</f>
        <v>学前教育</v>
      </c>
      <c r="K213" s="4" t="str">
        <f t="shared" si="80"/>
        <v>专科无学位</v>
      </c>
      <c r="L213" s="4" t="str">
        <f>"18278693856"</f>
        <v>18278693856</v>
      </c>
      <c r="M213" s="4" t="str">
        <f t="shared" si="73"/>
        <v>隆林县</v>
      </c>
      <c r="N213" s="4" t="str">
        <f>"广西省百色市隆林县含山村"</f>
        <v>广西省百色市隆林县含山村</v>
      </c>
      <c r="O213" s="4" t="str">
        <f>"875758502@qq.com"</f>
        <v>875758502@qq.com</v>
      </c>
      <c r="P213" s="4" t="str">
        <f>"2016.09.01"</f>
        <v>2016.09.01</v>
      </c>
      <c r="Q213" s="4" t="str">
        <f>"2017.06.01"</f>
        <v>2017.06.01</v>
      </c>
      <c r="R213" s="4" t="str">
        <f aca="true" t="shared" si="81" ref="R213:R218">"是"</f>
        <v>是</v>
      </c>
      <c r="S213" s="4" t="str">
        <f>"1:幼儿园"</f>
        <v>1:幼儿园</v>
      </c>
      <c r="T213" s="4" t="str">
        <f>"2017届毕业生填暂无"</f>
        <v>2017届毕业生填暂无</v>
      </c>
      <c r="U213" s="4" t="str">
        <f>"2017届毕业生填暂无"</f>
        <v>2017届毕业生填暂无</v>
      </c>
      <c r="V213" s="4" t="str">
        <f t="shared" si="70"/>
        <v>小学</v>
      </c>
      <c r="W213" s="4" t="str">
        <f t="shared" si="71"/>
        <v>102:语文</v>
      </c>
      <c r="X213" s="4" t="str">
        <f t="shared" si="74"/>
        <v>通过</v>
      </c>
    </row>
    <row r="214" spans="1:24" s="1" customFormat="1" ht="99.75">
      <c r="A214" s="4" t="str">
        <f>"34"</f>
        <v>34</v>
      </c>
      <c r="B214" s="4" t="str">
        <f>"王丽群"</f>
        <v>王丽群</v>
      </c>
      <c r="C214" s="4" t="str">
        <f t="shared" si="78"/>
        <v>女        </v>
      </c>
      <c r="D214" s="4" t="str">
        <f>"苗族"</f>
        <v>苗族</v>
      </c>
      <c r="E214" s="4" t="str">
        <f>"广西百色市隆林县"</f>
        <v>广西百色市隆林县</v>
      </c>
      <c r="F214" s="4" t="str">
        <f>"1987年12月"</f>
        <v>1987年12月</v>
      </c>
      <c r="G214" s="4" t="str">
        <f>"中共党员"</f>
        <v>中共党员</v>
      </c>
      <c r="H214" s="4" t="str">
        <f>"452631198712014144"</f>
        <v>452631198712014144</v>
      </c>
      <c r="I214" s="4" t="str">
        <f>"百色学院初等教育专业"</f>
        <v>百色学院初等教育专业</v>
      </c>
      <c r="J214" s="4" t="str">
        <f>"初等教育专业"</f>
        <v>初等教育专业</v>
      </c>
      <c r="K214" s="4" t="str">
        <f t="shared" si="80"/>
        <v>专科无学位</v>
      </c>
      <c r="L214" s="4" t="str">
        <f>"18377654567"</f>
        <v>18377654567</v>
      </c>
      <c r="M214" s="4" t="str">
        <f t="shared" si="73"/>
        <v>隆林县</v>
      </c>
      <c r="N214" s="4" t="str">
        <f>"广西壮族自治区百色市隆林各族自治县克长乡海长村七屯"</f>
        <v>广西壮族自治区百色市隆林各族自治县克长乡海长村七屯</v>
      </c>
      <c r="O214" s="4" t="str">
        <f>"wy777777@163.com"</f>
        <v>wy777777@163.com</v>
      </c>
      <c r="P214" s="4" t="str">
        <f>"2008.09.01"</f>
        <v>2008.09.01</v>
      </c>
      <c r="Q214" s="4" t="str">
        <f>"2008.09.01"</f>
        <v>2008.09.01</v>
      </c>
      <c r="R214" s="4" t="str">
        <f t="shared" si="81"/>
        <v>是</v>
      </c>
      <c r="S214" s="4" t="str">
        <f>"2:小学"</f>
        <v>2:小学</v>
      </c>
      <c r="T214" s="4" t="str">
        <f>"20084580021000585"</f>
        <v>20084580021000585</v>
      </c>
      <c r="U214" s="4" t="str">
        <f>"106091200806001417"</f>
        <v>106091200806001417</v>
      </c>
      <c r="V214" s="4" t="str">
        <f t="shared" si="70"/>
        <v>小学</v>
      </c>
      <c r="W214" s="4" t="str">
        <f t="shared" si="71"/>
        <v>102:语文</v>
      </c>
      <c r="X214" s="4" t="str">
        <f t="shared" si="74"/>
        <v>通过</v>
      </c>
    </row>
    <row r="215" spans="1:24" s="1" customFormat="1" ht="85.5">
      <c r="A215" s="4" t="str">
        <f>"35"</f>
        <v>35</v>
      </c>
      <c r="B215" s="4" t="str">
        <f>"韦明秋"</f>
        <v>韦明秋</v>
      </c>
      <c r="C215" s="4" t="str">
        <f t="shared" si="78"/>
        <v>女        </v>
      </c>
      <c r="D215" s="4" t="str">
        <f>"壮族"</f>
        <v>壮族</v>
      </c>
      <c r="E215" s="4" t="str">
        <f>"广西百色"</f>
        <v>广西百色</v>
      </c>
      <c r="F215" s="4" t="str">
        <f>"1995年01月"</f>
        <v>1995年01月</v>
      </c>
      <c r="G215" s="4" t="str">
        <f aca="true" t="shared" si="82" ref="G215:G227">"共青团员"</f>
        <v>共青团员</v>
      </c>
      <c r="H215" s="4" t="str">
        <f>"452631199501082301"</f>
        <v>452631199501082301</v>
      </c>
      <c r="I215" s="4" t="str">
        <f>"荆楚理工学院英语教育"</f>
        <v>荆楚理工学院英语教育</v>
      </c>
      <c r="J215" s="4" t="str">
        <f>"英语教育"</f>
        <v>英语教育</v>
      </c>
      <c r="K215" s="4" t="str">
        <f t="shared" si="80"/>
        <v>专科无学位</v>
      </c>
      <c r="L215" s="4" t="str">
        <f>"18807863435"</f>
        <v>18807863435</v>
      </c>
      <c r="M215" s="4" t="str">
        <f t="shared" si="73"/>
        <v>隆林县</v>
      </c>
      <c r="N215" s="4" t="str">
        <f>"广西隆林各族自治县天生桥镇风仁村青龙屯003号"</f>
        <v>广西隆林各族自治县天生桥镇风仁村青龙屯003号</v>
      </c>
      <c r="O215" s="4" t="str">
        <f>"2375947641@qq.com"</f>
        <v>2375947641@qq.com</v>
      </c>
      <c r="P215" s="4" t="str">
        <f>"2017.03.01"</f>
        <v>2017.03.01</v>
      </c>
      <c r="Q215" s="4" t="str">
        <f>"2016.06.01"</f>
        <v>2016.06.01</v>
      </c>
      <c r="R215" s="4" t="str">
        <f t="shared" si="81"/>
        <v>是</v>
      </c>
      <c r="S215" s="4" t="str">
        <f>"2:小学"</f>
        <v>2:小学</v>
      </c>
      <c r="T215" s="4" t="str">
        <f>"20164209022000535"</f>
        <v>20164209022000535</v>
      </c>
      <c r="U215" s="4" t="str">
        <f>"113360121606005420"</f>
        <v>113360121606005420</v>
      </c>
      <c r="V215" s="4" t="str">
        <f t="shared" si="70"/>
        <v>小学</v>
      </c>
      <c r="W215" s="4" t="str">
        <f t="shared" si="71"/>
        <v>102:语文</v>
      </c>
      <c r="X215" s="4" t="str">
        <f t="shared" si="74"/>
        <v>通过</v>
      </c>
    </row>
    <row r="216" spans="1:24" s="1" customFormat="1" ht="71.25">
      <c r="A216" s="4" t="str">
        <f>"36"</f>
        <v>36</v>
      </c>
      <c r="B216" s="4" t="str">
        <f>"王铭"</f>
        <v>王铭</v>
      </c>
      <c r="C216" s="4" t="str">
        <f>"男        "</f>
        <v>男        </v>
      </c>
      <c r="D216" s="4" t="str">
        <f>"苗族"</f>
        <v>苗族</v>
      </c>
      <c r="E216" s="4" t="str">
        <f>"广西百色隆林"</f>
        <v>广西百色隆林</v>
      </c>
      <c r="F216" s="4" t="str">
        <f>"1993年07月"</f>
        <v>1993年07月</v>
      </c>
      <c r="G216" s="4" t="str">
        <f t="shared" si="82"/>
        <v>共青团员</v>
      </c>
      <c r="H216" s="4" t="str">
        <f>"45263119930713207X"</f>
        <v>45263119930713207X</v>
      </c>
      <c r="I216" s="4" t="str">
        <f>"百色学院学前教育"</f>
        <v>百色学院学前教育</v>
      </c>
      <c r="J216" s="4" t="str">
        <f>"学前教育"</f>
        <v>学前教育</v>
      </c>
      <c r="K216" s="4" t="str">
        <f t="shared" si="80"/>
        <v>专科无学位</v>
      </c>
      <c r="L216" s="4" t="str">
        <f>"18877630839"</f>
        <v>18877630839</v>
      </c>
      <c r="M216" s="4" t="str">
        <f t="shared" si="73"/>
        <v>隆林县</v>
      </c>
      <c r="N216" s="4" t="str">
        <f>"广西百色市隆林县者浪乡么窝村谭平屯003号"</f>
        <v>广西百色市隆林县者浪乡么窝村谭平屯003号</v>
      </c>
      <c r="O216" s="4" t="str">
        <f>"2478782742@qq.com"</f>
        <v>2478782742@qq.com</v>
      </c>
      <c r="P216" s="4">
        <f>""</f>
      </c>
      <c r="Q216" s="4" t="str">
        <f>"2017.06.01"</f>
        <v>2017.06.01</v>
      </c>
      <c r="R216" s="4" t="str">
        <f t="shared" si="81"/>
        <v>是</v>
      </c>
      <c r="S216" s="4" t="str">
        <f>"1:幼儿园"</f>
        <v>1:幼儿园</v>
      </c>
      <c r="T216" s="4" t="str">
        <f>"2017届毕业生填暂无"</f>
        <v>2017届毕业生填暂无</v>
      </c>
      <c r="U216" s="4" t="str">
        <f>"2017届毕业生填暂无"</f>
        <v>2017届毕业生填暂无</v>
      </c>
      <c r="V216" s="4" t="str">
        <f t="shared" si="70"/>
        <v>小学</v>
      </c>
      <c r="W216" s="4" t="str">
        <f t="shared" si="71"/>
        <v>102:语文</v>
      </c>
      <c r="X216" s="4" t="str">
        <f t="shared" si="74"/>
        <v>通过</v>
      </c>
    </row>
    <row r="217" spans="1:24" s="1" customFormat="1" ht="85.5">
      <c r="A217" s="4" t="str">
        <f>"37"</f>
        <v>37</v>
      </c>
      <c r="B217" s="4" t="str">
        <f>"陆美秀"</f>
        <v>陆美秀</v>
      </c>
      <c r="C217" s="4" t="str">
        <f>"女        "</f>
        <v>女        </v>
      </c>
      <c r="D217" s="4" t="str">
        <f>"壮族"</f>
        <v>壮族</v>
      </c>
      <c r="E217" s="4" t="str">
        <f>"广西隆林各族自治县"</f>
        <v>广西隆林各族自治县</v>
      </c>
      <c r="F217" s="4" t="str">
        <f>"1994年12月"</f>
        <v>1994年12月</v>
      </c>
      <c r="G217" s="4" t="str">
        <f t="shared" si="82"/>
        <v>共青团员</v>
      </c>
      <c r="H217" s="4" t="str">
        <f>"452631199412061744"</f>
        <v>452631199412061744</v>
      </c>
      <c r="I217" s="4" t="str">
        <f>"百色学院综合文科教育"</f>
        <v>百色学院综合文科教育</v>
      </c>
      <c r="J217" s="4" t="str">
        <f>"综合文科教育"</f>
        <v>综合文科教育</v>
      </c>
      <c r="K217" s="4" t="str">
        <f t="shared" si="80"/>
        <v>专科无学位</v>
      </c>
      <c r="L217" s="4" t="str">
        <f>"18377681259"</f>
        <v>18377681259</v>
      </c>
      <c r="M217" s="4" t="str">
        <f t="shared" si="73"/>
        <v>隆林县</v>
      </c>
      <c r="N217" s="4" t="str">
        <f>"广西隆林各族自治县者保乡民怀村万年水屯019号"</f>
        <v>广西隆林各族自治县者保乡民怀村万年水屯019号</v>
      </c>
      <c r="O217" s="4" t="str">
        <f>"979806014@qq.com"</f>
        <v>979806014@qq.com</v>
      </c>
      <c r="P217" s="4">
        <f>""</f>
      </c>
      <c r="Q217" s="4" t="str">
        <f>"2017.06.01"</f>
        <v>2017.06.01</v>
      </c>
      <c r="R217" s="4" t="str">
        <f t="shared" si="81"/>
        <v>是</v>
      </c>
      <c r="S217" s="4" t="str">
        <f>"3:初级中学"</f>
        <v>3:初级中学</v>
      </c>
      <c r="T217" s="4" t="str">
        <f>"2017届毕业生填暂无"</f>
        <v>2017届毕业生填暂无</v>
      </c>
      <c r="U217" s="4" t="str">
        <f>"2017届毕业生填暂无"</f>
        <v>2017届毕业生填暂无</v>
      </c>
      <c r="V217" s="4" t="str">
        <f t="shared" si="70"/>
        <v>小学</v>
      </c>
      <c r="W217" s="4" t="str">
        <f t="shared" si="71"/>
        <v>102:语文</v>
      </c>
      <c r="X217" s="4" t="str">
        <f t="shared" si="74"/>
        <v>通过</v>
      </c>
    </row>
    <row r="218" spans="1:24" s="1" customFormat="1" ht="57">
      <c r="A218" s="4" t="str">
        <f>"38"</f>
        <v>38</v>
      </c>
      <c r="B218" s="4" t="str">
        <f>"周娇"</f>
        <v>周娇</v>
      </c>
      <c r="C218" s="4" t="str">
        <f>"女        "</f>
        <v>女        </v>
      </c>
      <c r="D218" s="4" t="str">
        <f>"回族"</f>
        <v>回族</v>
      </c>
      <c r="E218" s="4" t="str">
        <f>"贵州省"</f>
        <v>贵州省</v>
      </c>
      <c r="F218" s="4" t="str">
        <f>"1994年08月"</f>
        <v>1994年08月</v>
      </c>
      <c r="G218" s="4" t="str">
        <f t="shared" si="82"/>
        <v>共青团员</v>
      </c>
      <c r="H218" s="4" t="str">
        <f>"522322199408152323"</f>
        <v>522322199408152323</v>
      </c>
      <c r="I218" s="4" t="str">
        <f>"遵义师范学院小学教育"</f>
        <v>遵义师范学院小学教育</v>
      </c>
      <c r="J218" s="4" t="str">
        <f>"小学教育"</f>
        <v>小学教育</v>
      </c>
      <c r="K218" s="4" t="str">
        <f>"本科学士"</f>
        <v>本科学士</v>
      </c>
      <c r="L218" s="4" t="str">
        <f>"15885662172"</f>
        <v>15885662172</v>
      </c>
      <c r="M218" s="4" t="str">
        <f t="shared" si="73"/>
        <v>隆林县</v>
      </c>
      <c r="N218" s="4" t="str">
        <f>"贵州省兴仁县下山镇高武村清真一组"</f>
        <v>贵州省兴仁县下山镇高武村清真一组</v>
      </c>
      <c r="O218" s="4" t="str">
        <f>"1614315463@qq.com"</f>
        <v>1614315463@qq.com</v>
      </c>
      <c r="P218" s="4">
        <f>""</f>
      </c>
      <c r="Q218" s="4" t="str">
        <f>"2017.07.01"</f>
        <v>2017.07.01</v>
      </c>
      <c r="R218" s="4" t="str">
        <f t="shared" si="81"/>
        <v>是</v>
      </c>
      <c r="S218" s="4" t="str">
        <f>"2:小学"</f>
        <v>2:小学</v>
      </c>
      <c r="T218" s="4" t="str">
        <f>"20175221522000642"</f>
        <v>20175221522000642</v>
      </c>
      <c r="U218" s="4" t="str">
        <f>"106641201705002449"</f>
        <v>106641201705002449</v>
      </c>
      <c r="V218" s="4" t="str">
        <f t="shared" si="70"/>
        <v>小学</v>
      </c>
      <c r="W218" s="4" t="str">
        <f t="shared" si="71"/>
        <v>102:语文</v>
      </c>
      <c r="X218" s="4" t="str">
        <f t="shared" si="74"/>
        <v>通过</v>
      </c>
    </row>
    <row r="219" spans="1:24" s="1" customFormat="1" ht="71.25">
      <c r="A219" s="4" t="str">
        <f>"39"</f>
        <v>39</v>
      </c>
      <c r="B219" s="4" t="str">
        <f>"刘彩琴"</f>
        <v>刘彩琴</v>
      </c>
      <c r="C219" s="4" t="str">
        <f>"女        "</f>
        <v>女        </v>
      </c>
      <c r="D219" s="4" t="str">
        <f>"汉族"</f>
        <v>汉族</v>
      </c>
      <c r="E219" s="4" t="str">
        <f>"广西"</f>
        <v>广西</v>
      </c>
      <c r="F219" s="4" t="str">
        <f>"1992年07月"</f>
        <v>1992年07月</v>
      </c>
      <c r="G219" s="4" t="str">
        <f t="shared" si="82"/>
        <v>共青团员</v>
      </c>
      <c r="H219" s="4" t="str">
        <f>"452631199207130982"</f>
        <v>452631199207130982</v>
      </c>
      <c r="I219" s="4" t="str">
        <f>"广西财经学院市场营销"</f>
        <v>广西财经学院市场营销</v>
      </c>
      <c r="J219" s="4" t="str">
        <f>"市场营销"</f>
        <v>市场营销</v>
      </c>
      <c r="K219" s="4" t="str">
        <f>"本科学士"</f>
        <v>本科学士</v>
      </c>
      <c r="L219" s="4" t="str">
        <f>"18376716173"</f>
        <v>18376716173</v>
      </c>
      <c r="M219" s="4" t="str">
        <f t="shared" si="73"/>
        <v>隆林县</v>
      </c>
      <c r="N219" s="4" t="str">
        <f>"百色隆林各族自治县隆或镇滴岩村徕西屯"</f>
        <v>百色隆林各族自治县隆或镇滴岩村徕西屯</v>
      </c>
      <c r="O219" s="4" t="str">
        <f>"1161075061@qq.com"</f>
        <v>1161075061@qq.com</v>
      </c>
      <c r="P219" s="4">
        <f>""</f>
      </c>
      <c r="Q219" s="4" t="str">
        <f>"2017.06.01"</f>
        <v>2017.06.01</v>
      </c>
      <c r="R219" s="4" t="str">
        <f>"不是"</f>
        <v>不是</v>
      </c>
      <c r="S219" s="4" t="str">
        <f>"2:小学"</f>
        <v>2:小学</v>
      </c>
      <c r="T219" s="4" t="str">
        <f>"2017届毕业生填暂无"</f>
        <v>2017届毕业生填暂无</v>
      </c>
      <c r="U219" s="4" t="str">
        <f>"2017届毕业生填暂无"</f>
        <v>2017届毕业生填暂无</v>
      </c>
      <c r="V219" s="4" t="str">
        <f t="shared" si="70"/>
        <v>小学</v>
      </c>
      <c r="W219" s="4" t="str">
        <f t="shared" si="71"/>
        <v>102:语文</v>
      </c>
      <c r="X219" s="4" t="str">
        <f t="shared" si="74"/>
        <v>通过</v>
      </c>
    </row>
    <row r="220" spans="1:24" s="1" customFormat="1" ht="57">
      <c r="A220" s="4" t="str">
        <f>"40"</f>
        <v>40</v>
      </c>
      <c r="B220" s="4" t="str">
        <f>"赵乙徽"</f>
        <v>赵乙徽</v>
      </c>
      <c r="C220" s="4" t="str">
        <f>"女        "</f>
        <v>女        </v>
      </c>
      <c r="D220" s="4" t="str">
        <f>"汉族"</f>
        <v>汉族</v>
      </c>
      <c r="E220" s="4" t="str">
        <f>"广西隆林"</f>
        <v>广西隆林</v>
      </c>
      <c r="F220" s="4" t="str">
        <f>"1994年09月"</f>
        <v>1994年09月</v>
      </c>
      <c r="G220" s="4" t="str">
        <f t="shared" si="82"/>
        <v>共青团员</v>
      </c>
      <c r="H220" s="4" t="str">
        <f>"452631199409023640"</f>
        <v>452631199409023640</v>
      </c>
      <c r="I220" s="4" t="str">
        <f>"广西师范大学网络与新媒体"</f>
        <v>广西师范大学网络与新媒体</v>
      </c>
      <c r="J220" s="4" t="str">
        <f>"网络与新媒体"</f>
        <v>网络与新媒体</v>
      </c>
      <c r="K220" s="4" t="str">
        <f>"本科学士"</f>
        <v>本科学士</v>
      </c>
      <c r="L220" s="4" t="str">
        <f>"15678341127"</f>
        <v>15678341127</v>
      </c>
      <c r="M220" s="4" t="str">
        <f t="shared" si="73"/>
        <v>隆林县</v>
      </c>
      <c r="N220" s="4" t="str">
        <f>"广西百色市隆林县猪场乡街上20号"</f>
        <v>广西百色市隆林县猪场乡街上20号</v>
      </c>
      <c r="O220" s="4" t="str">
        <f>"337840114@qq.com"</f>
        <v>337840114@qq.com</v>
      </c>
      <c r="P220" s="4">
        <f>""</f>
      </c>
      <c r="Q220" s="4" t="str">
        <f>"2017.07.01"</f>
        <v>2017.07.01</v>
      </c>
      <c r="R220" s="4" t="str">
        <f>"不是"</f>
        <v>不是</v>
      </c>
      <c r="S220" s="4" t="str">
        <f>"0:暂未取得"</f>
        <v>0:暂未取得</v>
      </c>
      <c r="T220" s="4" t="str">
        <f>"暂无"</f>
        <v>暂无</v>
      </c>
      <c r="U220" s="4" t="str">
        <f>"暂无"</f>
        <v>暂无</v>
      </c>
      <c r="V220" s="4" t="str">
        <f t="shared" si="70"/>
        <v>小学</v>
      </c>
      <c r="W220" s="4" t="str">
        <f t="shared" si="71"/>
        <v>102:语文</v>
      </c>
      <c r="X220" s="4" t="str">
        <f t="shared" si="74"/>
        <v>通过</v>
      </c>
    </row>
    <row r="221" spans="1:24" s="1" customFormat="1" ht="57">
      <c r="A221" s="4" t="str">
        <f>"41"</f>
        <v>41</v>
      </c>
      <c r="B221" s="4" t="str">
        <f>"郭芳"</f>
        <v>郭芳</v>
      </c>
      <c r="C221" s="4" t="str">
        <f>"女        "</f>
        <v>女        </v>
      </c>
      <c r="D221" s="4" t="str">
        <f>"汉族"</f>
        <v>汉族</v>
      </c>
      <c r="E221" s="4" t="str">
        <f>"云南曲靖"</f>
        <v>云南曲靖</v>
      </c>
      <c r="F221" s="4" t="str">
        <f>"1989年11月"</f>
        <v>1989年11月</v>
      </c>
      <c r="G221" s="4" t="str">
        <f t="shared" si="82"/>
        <v>共青团员</v>
      </c>
      <c r="H221" s="4" t="str">
        <f>"530325198911231349"</f>
        <v>530325198911231349</v>
      </c>
      <c r="I221" s="4" t="str">
        <f>"云南广播电视大学初等教育"</f>
        <v>云南广播电视大学初等教育</v>
      </c>
      <c r="J221" s="4" t="str">
        <f>"初等教育"</f>
        <v>初等教育</v>
      </c>
      <c r="K221" s="4" t="str">
        <f>"专科无学位"</f>
        <v>专科无学位</v>
      </c>
      <c r="L221" s="4" t="str">
        <f>"15924748862"</f>
        <v>15924748862</v>
      </c>
      <c r="M221" s="4" t="str">
        <f t="shared" si="73"/>
        <v>隆林县</v>
      </c>
      <c r="N221" s="4" t="str">
        <f>"云南省曲靖市富源县富村镇"</f>
        <v>云南省曲靖市富源县富村镇</v>
      </c>
      <c r="O221" s="4" t="str">
        <f>"272295940@qq.com"</f>
        <v>272295940@qq.com</v>
      </c>
      <c r="P221" s="4" t="str">
        <f>"2017.03.01"</f>
        <v>2017.03.01</v>
      </c>
      <c r="Q221" s="4" t="str">
        <f>"2011.07.01"</f>
        <v>2011.07.01</v>
      </c>
      <c r="R221" s="4" t="str">
        <f>"是"</f>
        <v>是</v>
      </c>
      <c r="S221" s="4" t="str">
        <f>"2:小学"</f>
        <v>2:小学</v>
      </c>
      <c r="T221" s="4" t="str">
        <f>"20115303222000090"</f>
        <v>20115303222000090</v>
      </c>
      <c r="U221" s="4" t="str">
        <f>"251357120110600032"</f>
        <v>251357120110600032</v>
      </c>
      <c r="V221" s="4" t="str">
        <f t="shared" si="70"/>
        <v>小学</v>
      </c>
      <c r="W221" s="4" t="str">
        <f t="shared" si="71"/>
        <v>102:语文</v>
      </c>
      <c r="X221" s="4" t="str">
        <f t="shared" si="74"/>
        <v>通过</v>
      </c>
    </row>
    <row r="222" spans="1:24" s="1" customFormat="1" ht="57">
      <c r="A222" s="4" t="str">
        <f>"42"</f>
        <v>42</v>
      </c>
      <c r="B222" s="4" t="str">
        <f>"崔同明"</f>
        <v>崔同明</v>
      </c>
      <c r="C222" s="4" t="str">
        <f>"男        "</f>
        <v>男        </v>
      </c>
      <c r="D222" s="4" t="str">
        <f>"汉族"</f>
        <v>汉族</v>
      </c>
      <c r="E222" s="4" t="str">
        <f>"云南省曲靖市"</f>
        <v>云南省曲靖市</v>
      </c>
      <c r="F222" s="4" t="str">
        <f>"1991年09月"</f>
        <v>1991年09月</v>
      </c>
      <c r="G222" s="4" t="str">
        <f t="shared" si="82"/>
        <v>共青团员</v>
      </c>
      <c r="H222" s="4" t="str">
        <f>"530326199109133312"</f>
        <v>530326199109133312</v>
      </c>
      <c r="I222" s="4" t="str">
        <f>"临沧师范高等专科学校思想政治教育"</f>
        <v>临沧师范高等专科学校思想政治教育</v>
      </c>
      <c r="J222" s="4" t="str">
        <f>"思想政治教育"</f>
        <v>思想政治教育</v>
      </c>
      <c r="K222" s="4" t="str">
        <f>"专科无学位"</f>
        <v>专科无学位</v>
      </c>
      <c r="L222" s="4" t="str">
        <f>"15924739552"</f>
        <v>15924739552</v>
      </c>
      <c r="M222" s="4" t="str">
        <f t="shared" si="73"/>
        <v>隆林县</v>
      </c>
      <c r="N222" s="4" t="str">
        <f>"云南省曲靖市会泽县者海镇石河村"</f>
        <v>云南省曲靖市会泽县者海镇石河村</v>
      </c>
      <c r="O222" s="4" t="str">
        <f>"1783035839@qq.com"</f>
        <v>1783035839@qq.com</v>
      </c>
      <c r="P222" s="4">
        <f>""</f>
      </c>
      <c r="Q222" s="4" t="str">
        <f>"2014.07.01"</f>
        <v>2014.07.01</v>
      </c>
      <c r="R222" s="4" t="str">
        <f>"是"</f>
        <v>是</v>
      </c>
      <c r="S222" s="4" t="str">
        <f>"3:初级中学"</f>
        <v>3:初级中学</v>
      </c>
      <c r="T222" s="4" t="str">
        <f>"2014531383000589"</f>
        <v>2014531383000589</v>
      </c>
      <c r="U222" s="4" t="str">
        <f>"140921201406002026"</f>
        <v>140921201406002026</v>
      </c>
      <c r="V222" s="4" t="str">
        <f t="shared" si="70"/>
        <v>小学</v>
      </c>
      <c r="W222" s="4" t="str">
        <f t="shared" si="71"/>
        <v>102:语文</v>
      </c>
      <c r="X222" s="4" t="str">
        <f t="shared" si="74"/>
        <v>通过</v>
      </c>
    </row>
    <row r="223" spans="1:24" s="1" customFormat="1" ht="85.5">
      <c r="A223" s="4" t="str">
        <f>"43"</f>
        <v>43</v>
      </c>
      <c r="B223" s="4" t="str">
        <f>"卢彩研"</f>
        <v>卢彩研</v>
      </c>
      <c r="C223" s="4" t="str">
        <f aca="true" t="shared" si="83" ref="C223:C242">"女        "</f>
        <v>女        </v>
      </c>
      <c r="D223" s="4" t="str">
        <f>"壮族"</f>
        <v>壮族</v>
      </c>
      <c r="E223" s="4" t="str">
        <f>"广西隆林县"</f>
        <v>广西隆林县</v>
      </c>
      <c r="F223" s="4" t="str">
        <f>"1995年07月"</f>
        <v>1995年07月</v>
      </c>
      <c r="G223" s="4" t="str">
        <f t="shared" si="82"/>
        <v>共青团员</v>
      </c>
      <c r="H223" s="4" t="str">
        <f>"452631199507200049"</f>
        <v>452631199507200049</v>
      </c>
      <c r="I223" s="4" t="str">
        <f>"广西教育学院汉语"</f>
        <v>广西教育学院汉语</v>
      </c>
      <c r="J223" s="4" t="str">
        <f>"汉语"</f>
        <v>汉语</v>
      </c>
      <c r="K223" s="4" t="str">
        <f>"专科无学位"</f>
        <v>专科无学位</v>
      </c>
      <c r="L223" s="4" t="str">
        <f>"18378621664"</f>
        <v>18378621664</v>
      </c>
      <c r="M223" s="4" t="str">
        <f t="shared" si="73"/>
        <v>隆林县</v>
      </c>
      <c r="N223" s="4" t="str">
        <f>"广西隆林各族自治县新州镇民强村那合屯034号"</f>
        <v>广西隆林各族自治县新州镇民强村那合屯034号</v>
      </c>
      <c r="O223" s="4" t="str">
        <f>"2250780967@qq.com"</f>
        <v>2250780967@qq.com</v>
      </c>
      <c r="P223" s="4">
        <f>""</f>
      </c>
      <c r="Q223" s="4" t="str">
        <f>"2017.06.01"</f>
        <v>2017.06.01</v>
      </c>
      <c r="R223" s="4" t="str">
        <f>"是"</f>
        <v>是</v>
      </c>
      <c r="S223" s="4" t="str">
        <f>"2:小学"</f>
        <v>2:小学</v>
      </c>
      <c r="T223" s="4" t="str">
        <f>"暂无"</f>
        <v>暂无</v>
      </c>
      <c r="U223" s="4" t="str">
        <f>"无"</f>
        <v>无</v>
      </c>
      <c r="V223" s="4" t="str">
        <f t="shared" si="70"/>
        <v>小学</v>
      </c>
      <c r="W223" s="4" t="str">
        <f t="shared" si="71"/>
        <v>102:语文</v>
      </c>
      <c r="X223" s="4" t="str">
        <f t="shared" si="74"/>
        <v>通过</v>
      </c>
    </row>
    <row r="224" spans="1:24" s="1" customFormat="1" ht="71.25">
      <c r="A224" s="4" t="str">
        <f>"44"</f>
        <v>44</v>
      </c>
      <c r="B224" s="4" t="str">
        <f>"钟桂芬"</f>
        <v>钟桂芬</v>
      </c>
      <c r="C224" s="4" t="str">
        <f t="shared" si="83"/>
        <v>女        </v>
      </c>
      <c r="D224" s="4" t="str">
        <f>"汉族"</f>
        <v>汉族</v>
      </c>
      <c r="E224" s="4" t="str">
        <f>"广西百色市隆林县"</f>
        <v>广西百色市隆林县</v>
      </c>
      <c r="F224" s="4" t="str">
        <f>"1994年06月"</f>
        <v>1994年06月</v>
      </c>
      <c r="G224" s="4" t="str">
        <f t="shared" si="82"/>
        <v>共青团员</v>
      </c>
      <c r="H224" s="4" t="str">
        <f>"452631199406124163"</f>
        <v>452631199406124163</v>
      </c>
      <c r="I224" s="4" t="str">
        <f>"百色学院综合文科教育"</f>
        <v>百色学院综合文科教育</v>
      </c>
      <c r="J224" s="4" t="str">
        <f>"综合文科教育"</f>
        <v>综合文科教育</v>
      </c>
      <c r="K224" s="4" t="str">
        <f>"专科无学位"</f>
        <v>专科无学位</v>
      </c>
      <c r="L224" s="4" t="str">
        <f>"18278673737"</f>
        <v>18278673737</v>
      </c>
      <c r="M224" s="4" t="str">
        <f t="shared" si="73"/>
        <v>隆林县</v>
      </c>
      <c r="N224" s="4" t="str">
        <f>"广西百色市隆林县克长乡烂滩村烂滩屯"</f>
        <v>广西百色市隆林县克长乡烂滩村烂滩屯</v>
      </c>
      <c r="O224" s="4" t="str">
        <f>"1936329244@qq.com"</f>
        <v>1936329244@qq.com</v>
      </c>
      <c r="P224" s="4" t="str">
        <f>"2017.02.01"</f>
        <v>2017.02.01</v>
      </c>
      <c r="Q224" s="4" t="str">
        <f>"2017.06.01"</f>
        <v>2017.06.01</v>
      </c>
      <c r="R224" s="4" t="str">
        <f>"是"</f>
        <v>是</v>
      </c>
      <c r="S224" s="4" t="str">
        <f>"0:暂未取得"</f>
        <v>0:暂未取得</v>
      </c>
      <c r="T224" s="4" t="str">
        <f>"暂无"</f>
        <v>暂无</v>
      </c>
      <c r="U224" s="4" t="str">
        <f>"暂无"</f>
        <v>暂无</v>
      </c>
      <c r="V224" s="4" t="str">
        <f t="shared" si="70"/>
        <v>小学</v>
      </c>
      <c r="W224" s="4" t="str">
        <f t="shared" si="71"/>
        <v>102:语文</v>
      </c>
      <c r="X224" s="4" t="str">
        <f t="shared" si="74"/>
        <v>通过</v>
      </c>
    </row>
    <row r="225" spans="1:24" s="1" customFormat="1" ht="57">
      <c r="A225" s="4" t="str">
        <f>"45"</f>
        <v>45</v>
      </c>
      <c r="B225" s="4" t="str">
        <f>"韦歆"</f>
        <v>韦歆</v>
      </c>
      <c r="C225" s="4" t="str">
        <f t="shared" si="83"/>
        <v>女        </v>
      </c>
      <c r="D225" s="4" t="str">
        <f>"壮族"</f>
        <v>壮族</v>
      </c>
      <c r="E225" s="4" t="str">
        <f>"广西"</f>
        <v>广西</v>
      </c>
      <c r="F225" s="4" t="str">
        <f>"1994年04月"</f>
        <v>1994年04月</v>
      </c>
      <c r="G225" s="4" t="str">
        <f t="shared" si="82"/>
        <v>共青团员</v>
      </c>
      <c r="H225" s="4" t="str">
        <f>"452631199404232304"</f>
        <v>452631199404232304</v>
      </c>
      <c r="I225" s="4" t="str">
        <f>"广西幼儿师范高等专科学校学前教育"</f>
        <v>广西幼儿师范高等专科学校学前教育</v>
      </c>
      <c r="J225" s="4" t="str">
        <f>"学前教育"</f>
        <v>学前教育</v>
      </c>
      <c r="K225" s="4" t="str">
        <f>"专科无学位"</f>
        <v>专科无学位</v>
      </c>
      <c r="L225" s="4" t="str">
        <f>"15278675579"</f>
        <v>15278675579</v>
      </c>
      <c r="M225" s="4" t="str">
        <f t="shared" si="73"/>
        <v>隆林县</v>
      </c>
      <c r="N225" s="4" t="str">
        <f>"广西百色市隆林县天生桥镇"</f>
        <v>广西百色市隆林县天生桥镇</v>
      </c>
      <c r="O225" s="4" t="str">
        <f>"1369210141@qq.com"</f>
        <v>1369210141@qq.com</v>
      </c>
      <c r="P225" s="4" t="str">
        <f>"2016.09.01"</f>
        <v>2016.09.01</v>
      </c>
      <c r="Q225" s="4" t="str">
        <f>"2016.06.01"</f>
        <v>2016.06.01</v>
      </c>
      <c r="R225" s="4" t="str">
        <f>"是"</f>
        <v>是</v>
      </c>
      <c r="S225" s="4" t="str">
        <f>"2:小学"</f>
        <v>2:小学</v>
      </c>
      <c r="T225" s="4" t="str">
        <f>"2016452032751"</f>
        <v>2016452032751</v>
      </c>
      <c r="U225" s="4" t="str">
        <f>"142201201606001584"</f>
        <v>142201201606001584</v>
      </c>
      <c r="V225" s="4" t="str">
        <f t="shared" si="70"/>
        <v>小学</v>
      </c>
      <c r="W225" s="4" t="str">
        <f t="shared" si="71"/>
        <v>102:语文</v>
      </c>
      <c r="X225" s="4" t="str">
        <f t="shared" si="74"/>
        <v>通过</v>
      </c>
    </row>
    <row r="226" spans="1:24" s="1" customFormat="1" ht="71.25">
      <c r="A226" s="4" t="str">
        <f>"46"</f>
        <v>46</v>
      </c>
      <c r="B226" s="4" t="str">
        <f>"任雪瑞"</f>
        <v>任雪瑞</v>
      </c>
      <c r="C226" s="4" t="str">
        <f t="shared" si="83"/>
        <v>女        </v>
      </c>
      <c r="D226" s="4" t="str">
        <f>"汉族"</f>
        <v>汉族</v>
      </c>
      <c r="E226" s="4" t="str">
        <f>"百色隆林"</f>
        <v>百色隆林</v>
      </c>
      <c r="F226" s="4" t="str">
        <f>"1995年07月"</f>
        <v>1995年07月</v>
      </c>
      <c r="G226" s="4" t="str">
        <f t="shared" si="82"/>
        <v>共青团员</v>
      </c>
      <c r="H226" s="4" t="str">
        <f>"45263119950709440X"</f>
        <v>45263119950709440X</v>
      </c>
      <c r="I226" s="4" t="str">
        <f>"百色学院国际经济与贸易"</f>
        <v>百色学院国际经济与贸易</v>
      </c>
      <c r="J226" s="4" t="str">
        <f>"国际经济与贸易"</f>
        <v>国际经济与贸易</v>
      </c>
      <c r="K226" s="4" t="str">
        <f>"本科学士"</f>
        <v>本科学士</v>
      </c>
      <c r="L226" s="4" t="str">
        <f>"18778684618"</f>
        <v>18778684618</v>
      </c>
      <c r="M226" s="4" t="str">
        <f t="shared" si="73"/>
        <v>隆林县</v>
      </c>
      <c r="N226" s="4" t="str">
        <f>"百色市隆林县克长乡大庆村马海屯"</f>
        <v>百色市隆林县克长乡大庆村马海屯</v>
      </c>
      <c r="O226" s="4" t="str">
        <f>"827179707@qq.com"</f>
        <v>827179707@qq.com</v>
      </c>
      <c r="P226" s="4" t="str">
        <f>"2017.03.01"</f>
        <v>2017.03.01</v>
      </c>
      <c r="Q226" s="4" t="str">
        <f>"2017.06.01"</f>
        <v>2017.06.01</v>
      </c>
      <c r="R226" s="4" t="str">
        <f>"不是"</f>
        <v>不是</v>
      </c>
      <c r="S226" s="4" t="str">
        <f>"0:暂未取得"</f>
        <v>0:暂未取得</v>
      </c>
      <c r="T226" s="4" t="str">
        <f>"2017届毕业生填暂无"</f>
        <v>2017届毕业生填暂无</v>
      </c>
      <c r="U226" s="4" t="str">
        <f>"2017届毕业生填暂无"</f>
        <v>2017届毕业生填暂无</v>
      </c>
      <c r="V226" s="4" t="str">
        <f t="shared" si="70"/>
        <v>小学</v>
      </c>
      <c r="W226" s="4" t="str">
        <f t="shared" si="71"/>
        <v>102:语文</v>
      </c>
      <c r="X226" s="4" t="str">
        <f t="shared" si="74"/>
        <v>通过</v>
      </c>
    </row>
    <row r="227" spans="1:24" s="1" customFormat="1" ht="85.5">
      <c r="A227" s="4" t="str">
        <f>"47"</f>
        <v>47</v>
      </c>
      <c r="B227" s="4" t="str">
        <f>"陆尚检"</f>
        <v>陆尚检</v>
      </c>
      <c r="C227" s="4" t="str">
        <f t="shared" si="83"/>
        <v>女        </v>
      </c>
      <c r="D227" s="4" t="str">
        <f>"壮族"</f>
        <v>壮族</v>
      </c>
      <c r="E227" s="4" t="str">
        <f>"广西隆林县"</f>
        <v>广西隆林县</v>
      </c>
      <c r="F227" s="4" t="str">
        <f>"1994年01月"</f>
        <v>1994年01月</v>
      </c>
      <c r="G227" s="4" t="str">
        <f t="shared" si="82"/>
        <v>共青团员</v>
      </c>
      <c r="H227" s="4" t="str">
        <f>"452631199401022627"</f>
        <v>452631199401022627</v>
      </c>
      <c r="I227" s="4" t="str">
        <f>"广西教育学院学前教育"</f>
        <v>广西教育学院学前教育</v>
      </c>
      <c r="J227" s="4" t="str">
        <f>"学前教育"</f>
        <v>学前教育</v>
      </c>
      <c r="K227" s="4" t="str">
        <f aca="true" t="shared" si="84" ref="K227:K235">"专科无学位"</f>
        <v>专科无学位</v>
      </c>
      <c r="L227" s="4" t="str">
        <f>"18777168906"</f>
        <v>18777168906</v>
      </c>
      <c r="M227" s="4" t="str">
        <f t="shared" si="73"/>
        <v>隆林县</v>
      </c>
      <c r="N227" s="4" t="str">
        <f>"广西隆林各族自治县新州镇新兴社区龙山街120号"</f>
        <v>广西隆林各族自治县新州镇新兴社区龙山街120号</v>
      </c>
      <c r="O227" s="4" t="str">
        <f>"1229762968@qq.com"</f>
        <v>1229762968@qq.com</v>
      </c>
      <c r="P227" s="4">
        <f>""</f>
      </c>
      <c r="Q227" s="4" t="str">
        <f>"2017.06.01"</f>
        <v>2017.06.01</v>
      </c>
      <c r="R227" s="4" t="str">
        <f aca="true" t="shared" si="85" ref="R227:R234">"是"</f>
        <v>是</v>
      </c>
      <c r="S227" s="4" t="str">
        <f>"0:暂未取得"</f>
        <v>0:暂未取得</v>
      </c>
      <c r="T227" s="4" t="str">
        <f>"暂无"</f>
        <v>暂无</v>
      </c>
      <c r="U227" s="4" t="str">
        <f>"暂无"</f>
        <v>暂无</v>
      </c>
      <c r="V227" s="4" t="str">
        <f t="shared" si="70"/>
        <v>小学</v>
      </c>
      <c r="W227" s="4" t="str">
        <f t="shared" si="71"/>
        <v>102:语文</v>
      </c>
      <c r="X227" s="4" t="str">
        <f t="shared" si="74"/>
        <v>通过</v>
      </c>
    </row>
    <row r="228" spans="1:24" s="1" customFormat="1" ht="57">
      <c r="A228" s="4" t="str">
        <f>"48"</f>
        <v>48</v>
      </c>
      <c r="B228" s="4" t="str">
        <f>"严红玲"</f>
        <v>严红玲</v>
      </c>
      <c r="C228" s="4" t="str">
        <f t="shared" si="83"/>
        <v>女        </v>
      </c>
      <c r="D228" s="4" t="str">
        <f>"汉族"</f>
        <v>汉族</v>
      </c>
      <c r="E228" s="4" t="str">
        <f>"云南曲靖师宗"</f>
        <v>云南曲靖师宗</v>
      </c>
      <c r="F228" s="4" t="str">
        <f>"1994年09月"</f>
        <v>1994年09月</v>
      </c>
      <c r="G228" s="4" t="str">
        <f>"中共党员"</f>
        <v>中共党员</v>
      </c>
      <c r="H228" s="4" t="str">
        <f>"530323199409111925"</f>
        <v>530323199409111925</v>
      </c>
      <c r="I228" s="4" t="str">
        <f>"滇西科技师范学院初等教育"</f>
        <v>滇西科技师范学院初等教育</v>
      </c>
      <c r="J228" s="4" t="str">
        <f>"初等教育"</f>
        <v>初等教育</v>
      </c>
      <c r="K228" s="4" t="str">
        <f t="shared" si="84"/>
        <v>专科无学位</v>
      </c>
      <c r="L228" s="4" t="str">
        <f>"15388747890"</f>
        <v>15388747890</v>
      </c>
      <c r="M228" s="4" t="str">
        <f t="shared" si="73"/>
        <v>隆林县</v>
      </c>
      <c r="N228" s="4" t="str">
        <f>"云南省曲靖市师宗县雄壁镇雄壁村"</f>
        <v>云南省曲靖市师宗县雄壁镇雄壁村</v>
      </c>
      <c r="O228" s="4" t="str">
        <f>"1659810009@qq.com"</f>
        <v>1659810009@qq.com</v>
      </c>
      <c r="P228" s="4" t="str">
        <f>"2016.09.01"</f>
        <v>2016.09.01</v>
      </c>
      <c r="Q228" s="4" t="str">
        <f>"2017.07.01"</f>
        <v>2017.07.01</v>
      </c>
      <c r="R228" s="4" t="str">
        <f t="shared" si="85"/>
        <v>是</v>
      </c>
      <c r="S228" s="4" t="str">
        <f>"2:小学"</f>
        <v>2:小学</v>
      </c>
      <c r="T228" s="4" t="str">
        <f>"20165313822000107"</f>
        <v>20165313822000107</v>
      </c>
      <c r="U228" s="4" t="str">
        <f>"140921201606001349"</f>
        <v>140921201606001349</v>
      </c>
      <c r="V228" s="4" t="str">
        <f t="shared" si="70"/>
        <v>小学</v>
      </c>
      <c r="W228" s="4" t="str">
        <f t="shared" si="71"/>
        <v>102:语文</v>
      </c>
      <c r="X228" s="4" t="str">
        <f t="shared" si="74"/>
        <v>通过</v>
      </c>
    </row>
    <row r="229" spans="1:24" s="1" customFormat="1" ht="71.25">
      <c r="A229" s="4" t="str">
        <f>"49"</f>
        <v>49</v>
      </c>
      <c r="B229" s="4" t="str">
        <f>"张容"</f>
        <v>张容</v>
      </c>
      <c r="C229" s="4" t="str">
        <f t="shared" si="83"/>
        <v>女        </v>
      </c>
      <c r="D229" s="4" t="str">
        <f>"汉族"</f>
        <v>汉族</v>
      </c>
      <c r="E229" s="4" t="str">
        <f>"四川省通江县"</f>
        <v>四川省通江县</v>
      </c>
      <c r="F229" s="4" t="str">
        <f>"1994年07月"</f>
        <v>1994年07月</v>
      </c>
      <c r="G229" s="4" t="str">
        <f aca="true" t="shared" si="86" ref="G229:G239">"共青团员"</f>
        <v>共青团员</v>
      </c>
      <c r="H229" s="4" t="str">
        <f>"513721199407140026"</f>
        <v>513721199407140026</v>
      </c>
      <c r="I229" s="4" t="str">
        <f>"昭通学院语文教育"</f>
        <v>昭通学院语文教育</v>
      </c>
      <c r="J229" s="4" t="str">
        <f>"语文教育"</f>
        <v>语文教育</v>
      </c>
      <c r="K229" s="4" t="str">
        <f t="shared" si="84"/>
        <v>专科无学位</v>
      </c>
      <c r="L229" s="4" t="str">
        <f>"13649078768"</f>
        <v>13649078768</v>
      </c>
      <c r="M229" s="4" t="str">
        <f t="shared" si="73"/>
        <v>隆林县</v>
      </c>
      <c r="N229" s="4" t="str">
        <f>"四川省通江县诺江镇"</f>
        <v>四川省通江县诺江镇</v>
      </c>
      <c r="O229" s="4" t="str">
        <f>"351042889@qq.com"</f>
        <v>351042889@qq.com</v>
      </c>
      <c r="P229" s="4">
        <f>""</f>
      </c>
      <c r="Q229" s="4" t="str">
        <f>"2017.07.01"</f>
        <v>2017.07.01</v>
      </c>
      <c r="R229" s="4" t="str">
        <f t="shared" si="85"/>
        <v>是</v>
      </c>
      <c r="S229" s="4" t="str">
        <f>"3:初级中学"</f>
        <v>3:初级中学</v>
      </c>
      <c r="T229" s="4" t="str">
        <f>"2017届毕业生填暂无"</f>
        <v>2017届毕业生填暂无</v>
      </c>
      <c r="U229" s="4" t="str">
        <f>"2017届毕业生填暂无"</f>
        <v>2017届毕业生填暂无</v>
      </c>
      <c r="V229" s="4" t="str">
        <f t="shared" si="70"/>
        <v>小学</v>
      </c>
      <c r="W229" s="4" t="str">
        <f t="shared" si="71"/>
        <v>102:语文</v>
      </c>
      <c r="X229" s="4" t="str">
        <f t="shared" si="74"/>
        <v>通过</v>
      </c>
    </row>
    <row r="230" spans="1:24" s="1" customFormat="1" ht="71.25">
      <c r="A230" s="4" t="str">
        <f>"50"</f>
        <v>50</v>
      </c>
      <c r="B230" s="4" t="str">
        <f>"付百书"</f>
        <v>付百书</v>
      </c>
      <c r="C230" s="4" t="str">
        <f t="shared" si="83"/>
        <v>女        </v>
      </c>
      <c r="D230" s="4" t="str">
        <f>"汉族"</f>
        <v>汉族</v>
      </c>
      <c r="E230" s="4" t="str">
        <f>"云南富源"</f>
        <v>云南富源</v>
      </c>
      <c r="F230" s="4" t="str">
        <f>"1994年08月"</f>
        <v>1994年08月</v>
      </c>
      <c r="G230" s="4" t="str">
        <f t="shared" si="86"/>
        <v>共青团员</v>
      </c>
      <c r="H230" s="4" t="str">
        <f>"53032519940805196X"</f>
        <v>53032519940805196X</v>
      </c>
      <c r="I230" s="4" t="str">
        <f>"文山学院初等教育"</f>
        <v>文山学院初等教育</v>
      </c>
      <c r="J230" s="4" t="str">
        <f>"初等教育"</f>
        <v>初等教育</v>
      </c>
      <c r="K230" s="4" t="str">
        <f t="shared" si="84"/>
        <v>专科无学位</v>
      </c>
      <c r="L230" s="4" t="str">
        <f>"13577609573"</f>
        <v>13577609573</v>
      </c>
      <c r="M230" s="4" t="str">
        <f t="shared" si="73"/>
        <v>隆林县</v>
      </c>
      <c r="N230" s="4" t="str">
        <f>"云南省曲靖市富源县老厂镇黑克村委会黑克村"</f>
        <v>云南省曲靖市富源县老厂镇黑克村委会黑克村</v>
      </c>
      <c r="O230" s="4" t="str">
        <f>"2657756080@qq.COM"</f>
        <v>2657756080@qq.COM</v>
      </c>
      <c r="P230" s="4">
        <f>""</f>
      </c>
      <c r="Q230" s="4" t="str">
        <f>"2016.07.01"</f>
        <v>2016.07.01</v>
      </c>
      <c r="R230" s="4" t="str">
        <f t="shared" si="85"/>
        <v>是</v>
      </c>
      <c r="S230" s="4" t="str">
        <f>"2:小学"</f>
        <v>2:小学</v>
      </c>
      <c r="T230" s="4" t="str">
        <f>"20165307422000129"</f>
        <v>20165307422000129</v>
      </c>
      <c r="U230" s="4" t="str">
        <f>"115561201606000809"</f>
        <v>115561201606000809</v>
      </c>
      <c r="V230" s="4" t="str">
        <f t="shared" si="70"/>
        <v>小学</v>
      </c>
      <c r="W230" s="4" t="str">
        <f t="shared" si="71"/>
        <v>102:语文</v>
      </c>
      <c r="X230" s="4" t="str">
        <f t="shared" si="74"/>
        <v>通过</v>
      </c>
    </row>
    <row r="231" spans="1:24" s="1" customFormat="1" ht="57">
      <c r="A231" s="4" t="str">
        <f>"51"</f>
        <v>51</v>
      </c>
      <c r="B231" s="4" t="str">
        <f>"韦显悦"</f>
        <v>韦显悦</v>
      </c>
      <c r="C231" s="4" t="str">
        <f t="shared" si="83"/>
        <v>女        </v>
      </c>
      <c r="D231" s="4" t="str">
        <f>"壮族"</f>
        <v>壮族</v>
      </c>
      <c r="E231" s="4" t="str">
        <f>"广西来宾"</f>
        <v>广西来宾</v>
      </c>
      <c r="F231" s="4" t="str">
        <f>"1991年08月"</f>
        <v>1991年08月</v>
      </c>
      <c r="G231" s="4" t="str">
        <f t="shared" si="86"/>
        <v>共青团员</v>
      </c>
      <c r="H231" s="4" t="str">
        <f>"452226199108234820"</f>
        <v>452226199108234820</v>
      </c>
      <c r="I231" s="4" t="str">
        <f>"广西教育学院音乐教育"</f>
        <v>广西教育学院音乐教育</v>
      </c>
      <c r="J231" s="4" t="str">
        <f>"音乐教育"</f>
        <v>音乐教育</v>
      </c>
      <c r="K231" s="4" t="str">
        <f t="shared" si="84"/>
        <v>专科无学位</v>
      </c>
      <c r="L231" s="4" t="str">
        <f>"18260855594"</f>
        <v>18260855594</v>
      </c>
      <c r="M231" s="4" t="str">
        <f t="shared" si="73"/>
        <v>隆林县</v>
      </c>
      <c r="N231" s="4" t="str">
        <f>"广西来宾市兴宾区城厢乡凡村"</f>
        <v>广西来宾市兴宾区城厢乡凡村</v>
      </c>
      <c r="O231" s="4" t="str">
        <f>"719016931@qq.com"</f>
        <v>719016931@qq.com</v>
      </c>
      <c r="P231" s="4">
        <f>""</f>
      </c>
      <c r="Q231" s="4" t="str">
        <f>"2013.06.01"</f>
        <v>2013.06.01</v>
      </c>
      <c r="R231" s="4" t="str">
        <f t="shared" si="85"/>
        <v>是</v>
      </c>
      <c r="S231" s="4" t="str">
        <f>"3:初级中学"</f>
        <v>3:初级中学</v>
      </c>
      <c r="T231" s="4" t="str">
        <f>"20134501232001601"</f>
        <v>20134501232001601</v>
      </c>
      <c r="U231" s="4" t="str">
        <f>"508701201306000744"</f>
        <v>508701201306000744</v>
      </c>
      <c r="V231" s="4" t="str">
        <f t="shared" si="70"/>
        <v>小学</v>
      </c>
      <c r="W231" s="4" t="str">
        <f t="shared" si="71"/>
        <v>102:语文</v>
      </c>
      <c r="X231" s="4" t="str">
        <f t="shared" si="74"/>
        <v>通过</v>
      </c>
    </row>
    <row r="232" spans="1:24" s="1" customFormat="1" ht="57">
      <c r="A232" s="4" t="str">
        <f>"52"</f>
        <v>52</v>
      </c>
      <c r="B232" s="4" t="str">
        <f>"严芳林"</f>
        <v>严芳林</v>
      </c>
      <c r="C232" s="4" t="str">
        <f t="shared" si="83"/>
        <v>女        </v>
      </c>
      <c r="D232" s="4" t="str">
        <f>"壮族"</f>
        <v>壮族</v>
      </c>
      <c r="E232" s="4" t="str">
        <f>"云南曲靖"</f>
        <v>云南曲靖</v>
      </c>
      <c r="F232" s="4" t="str">
        <f>"1993年01月"</f>
        <v>1993年01月</v>
      </c>
      <c r="G232" s="4" t="str">
        <f t="shared" si="86"/>
        <v>共青团员</v>
      </c>
      <c r="H232" s="4" t="str">
        <f>"530323199301231925"</f>
        <v>530323199301231925</v>
      </c>
      <c r="I232" s="4" t="str">
        <f>"临沧师范高等专科学校思想政治教育"</f>
        <v>临沧师范高等专科学校思想政治教育</v>
      </c>
      <c r="J232" s="4" t="str">
        <f>"思想政治教育"</f>
        <v>思想政治教育</v>
      </c>
      <c r="K232" s="4" t="str">
        <f t="shared" si="84"/>
        <v>专科无学位</v>
      </c>
      <c r="L232" s="4" t="str">
        <f>"13732768247"</f>
        <v>13732768247</v>
      </c>
      <c r="M232" s="4" t="str">
        <f t="shared" si="73"/>
        <v>隆林县</v>
      </c>
      <c r="N232" s="4" t="str">
        <f>"云南省曲靖市师宗县雄壁镇雄壁村"</f>
        <v>云南省曲靖市师宗县雄壁镇雄壁村</v>
      </c>
      <c r="O232" s="4" t="str">
        <f>"2550375315@qq.com"</f>
        <v>2550375315@qq.com</v>
      </c>
      <c r="P232" s="4" t="str">
        <f>"2015.06.01"</f>
        <v>2015.06.01</v>
      </c>
      <c r="Q232" s="4" t="str">
        <f>"2014.07.01"</f>
        <v>2014.07.01</v>
      </c>
      <c r="R232" s="4" t="str">
        <f t="shared" si="85"/>
        <v>是</v>
      </c>
      <c r="S232" s="4" t="str">
        <f>"3:初级中学"</f>
        <v>3:初级中学</v>
      </c>
      <c r="T232" s="4" t="str">
        <f>"20145313832000913"</f>
        <v>20145313832000913</v>
      </c>
      <c r="U232" s="4" t="str">
        <f>"140921201406002009"</f>
        <v>140921201406002009</v>
      </c>
      <c r="V232" s="4" t="str">
        <f t="shared" si="70"/>
        <v>小学</v>
      </c>
      <c r="W232" s="4" t="str">
        <f t="shared" si="71"/>
        <v>102:语文</v>
      </c>
      <c r="X232" s="4" t="str">
        <f t="shared" si="74"/>
        <v>通过</v>
      </c>
    </row>
    <row r="233" spans="1:24" s="1" customFormat="1" ht="57">
      <c r="A233" s="4" t="str">
        <f>"53"</f>
        <v>53</v>
      </c>
      <c r="B233" s="4" t="str">
        <f>"李艳琼"</f>
        <v>李艳琼</v>
      </c>
      <c r="C233" s="4" t="str">
        <f t="shared" si="83"/>
        <v>女        </v>
      </c>
      <c r="D233" s="4" t="str">
        <f>"壮族"</f>
        <v>壮族</v>
      </c>
      <c r="E233" s="4" t="str">
        <f>"广西"</f>
        <v>广西</v>
      </c>
      <c r="F233" s="4" t="str">
        <f>"1993年08月"</f>
        <v>1993年08月</v>
      </c>
      <c r="G233" s="4" t="str">
        <f t="shared" si="86"/>
        <v>共青团员</v>
      </c>
      <c r="H233" s="4" t="str">
        <f>"452631199308194141"</f>
        <v>452631199308194141</v>
      </c>
      <c r="I233" s="4" t="str">
        <f>"广西幼儿师范高等专科学校语文教育"</f>
        <v>广西幼儿师范高等专科学校语文教育</v>
      </c>
      <c r="J233" s="4" t="str">
        <f>"语文教育"</f>
        <v>语文教育</v>
      </c>
      <c r="K233" s="4" t="str">
        <f t="shared" si="84"/>
        <v>专科无学位</v>
      </c>
      <c r="L233" s="4" t="str">
        <f>"18277671255"</f>
        <v>18277671255</v>
      </c>
      <c r="M233" s="4" t="str">
        <f t="shared" si="73"/>
        <v>隆林县</v>
      </c>
      <c r="N233" s="4" t="str">
        <f>"广西百色市隆林县克长乡河马村"</f>
        <v>广西百色市隆林县克长乡河马村</v>
      </c>
      <c r="O233" s="4" t="str">
        <f>"1161729418@qq.com"</f>
        <v>1161729418@qq.com</v>
      </c>
      <c r="P233" s="4" t="str">
        <f>"2016.06.01"</f>
        <v>2016.06.01</v>
      </c>
      <c r="Q233" s="4" t="str">
        <f>"2015.06.01"</f>
        <v>2015.06.01</v>
      </c>
      <c r="R233" s="4" t="str">
        <f t="shared" si="85"/>
        <v>是</v>
      </c>
      <c r="S233" s="4" t="str">
        <f>"2:小学"</f>
        <v>2:小学</v>
      </c>
      <c r="T233" s="4" t="str">
        <f>"2016452032955"</f>
        <v>2016452032955</v>
      </c>
      <c r="U233" s="4" t="str">
        <f>"142201201506001729"</f>
        <v>142201201506001729</v>
      </c>
      <c r="V233" s="4" t="str">
        <f t="shared" si="70"/>
        <v>小学</v>
      </c>
      <c r="W233" s="4" t="str">
        <f t="shared" si="71"/>
        <v>102:语文</v>
      </c>
      <c r="X233" s="4" t="str">
        <f t="shared" si="74"/>
        <v>通过</v>
      </c>
    </row>
    <row r="234" spans="1:24" s="1" customFormat="1" ht="71.25">
      <c r="A234" s="4" t="str">
        <f>"54"</f>
        <v>54</v>
      </c>
      <c r="B234" s="4" t="str">
        <f>"韦张秋"</f>
        <v>韦张秋</v>
      </c>
      <c r="C234" s="4" t="str">
        <f t="shared" si="83"/>
        <v>女        </v>
      </c>
      <c r="D234" s="4" t="str">
        <f>"壮族"</f>
        <v>壮族</v>
      </c>
      <c r="E234" s="4" t="str">
        <f>"广西来宾市"</f>
        <v>广西来宾市</v>
      </c>
      <c r="F234" s="4" t="str">
        <f>"1990年09月"</f>
        <v>1990年09月</v>
      </c>
      <c r="G234" s="4" t="str">
        <f t="shared" si="86"/>
        <v>共青团员</v>
      </c>
      <c r="H234" s="4" t="str">
        <f>"452224199009190524"</f>
        <v>452224199009190524</v>
      </c>
      <c r="I234" s="4" t="str">
        <f>"百色学院综合文科教育"</f>
        <v>百色学院综合文科教育</v>
      </c>
      <c r="J234" s="4" t="str">
        <f>"综合文科教育"</f>
        <v>综合文科教育</v>
      </c>
      <c r="K234" s="4" t="str">
        <f t="shared" si="84"/>
        <v>专科无学位</v>
      </c>
      <c r="L234" s="4" t="str">
        <f>"18778681852"</f>
        <v>18778681852</v>
      </c>
      <c r="M234" s="4" t="str">
        <f t="shared" si="73"/>
        <v>隆林县</v>
      </c>
      <c r="N234" s="4" t="str">
        <f>"广西来宾市象州县妙皇乡寮村57号"</f>
        <v>广西来宾市象州县妙皇乡寮村57号</v>
      </c>
      <c r="O234" s="4" t="str">
        <f>"947574419@cn.com"</f>
        <v>947574419@cn.com</v>
      </c>
      <c r="P234" s="4" t="str">
        <f>"2013.07.01"</f>
        <v>2013.07.01</v>
      </c>
      <c r="Q234" s="4" t="str">
        <f>"2013.07.01"</f>
        <v>2013.07.01</v>
      </c>
      <c r="R234" s="4" t="str">
        <f t="shared" si="85"/>
        <v>是</v>
      </c>
      <c r="S234" s="4" t="str">
        <f>"3:初级中学"</f>
        <v>3:初级中学</v>
      </c>
      <c r="T234" s="4" t="str">
        <f>"2017届毕业生填暂无"</f>
        <v>2017届毕业生填暂无</v>
      </c>
      <c r="U234" s="4" t="str">
        <f>"2017届毕业生填暂无"</f>
        <v>2017届毕业生填暂无</v>
      </c>
      <c r="V234" s="4" t="str">
        <f t="shared" si="70"/>
        <v>小学</v>
      </c>
      <c r="W234" s="4" t="str">
        <f t="shared" si="71"/>
        <v>102:语文</v>
      </c>
      <c r="X234" s="4" t="str">
        <f t="shared" si="74"/>
        <v>通过</v>
      </c>
    </row>
    <row r="235" spans="1:24" s="1" customFormat="1" ht="99.75">
      <c r="A235" s="4" t="str">
        <f>"55"</f>
        <v>55</v>
      </c>
      <c r="B235" s="4" t="str">
        <f>"黄月丽"</f>
        <v>黄月丽</v>
      </c>
      <c r="C235" s="4" t="str">
        <f t="shared" si="83"/>
        <v>女        </v>
      </c>
      <c r="D235" s="4" t="str">
        <f>"汉族"</f>
        <v>汉族</v>
      </c>
      <c r="E235" s="4" t="str">
        <f>"广西隆林"</f>
        <v>广西隆林</v>
      </c>
      <c r="F235" s="4" t="str">
        <f>"1992年10月"</f>
        <v>1992年10月</v>
      </c>
      <c r="G235" s="4" t="str">
        <f t="shared" si="86"/>
        <v>共青团员</v>
      </c>
      <c r="H235" s="4" t="str">
        <f>"452631199210124145"</f>
        <v>452631199210124145</v>
      </c>
      <c r="I235" s="4" t="str">
        <f>"广西外国语学院应用英语"</f>
        <v>广西外国语学院应用英语</v>
      </c>
      <c r="J235" s="4" t="str">
        <f>"应用英语"</f>
        <v>应用英语</v>
      </c>
      <c r="K235" s="4" t="str">
        <f t="shared" si="84"/>
        <v>专科无学位</v>
      </c>
      <c r="L235" s="4" t="str">
        <f>"18249992067"</f>
        <v>18249992067</v>
      </c>
      <c r="M235" s="4" t="str">
        <f t="shared" si="73"/>
        <v>隆林县</v>
      </c>
      <c r="N235" s="4" t="str">
        <f>"广西省百色市隆林各族自治县克长乡海长村海长屯8队029"</f>
        <v>广西省百色市隆林各族自治县克长乡海长村海长屯8队029</v>
      </c>
      <c r="O235" s="4" t="str">
        <f>"513578233@qq.com"</f>
        <v>513578233@qq.com</v>
      </c>
      <c r="P235" s="4" t="str">
        <f>"2014.02.01"</f>
        <v>2014.02.01</v>
      </c>
      <c r="Q235" s="4" t="str">
        <f>"2014.07.01"</f>
        <v>2014.07.01</v>
      </c>
      <c r="R235" s="4" t="str">
        <f>"不是"</f>
        <v>不是</v>
      </c>
      <c r="S235" s="4" t="str">
        <f>"2:小学"</f>
        <v>2:小学</v>
      </c>
      <c r="T235" s="4" t="str">
        <f>"20164580522000008"</f>
        <v>20164580522000008</v>
      </c>
      <c r="U235" s="4" t="str">
        <f>"138301201406002387"</f>
        <v>138301201406002387</v>
      </c>
      <c r="V235" s="4" t="str">
        <f t="shared" si="70"/>
        <v>小学</v>
      </c>
      <c r="W235" s="4" t="str">
        <f t="shared" si="71"/>
        <v>102:语文</v>
      </c>
      <c r="X235" s="4" t="str">
        <f t="shared" si="74"/>
        <v>通过</v>
      </c>
    </row>
    <row r="236" spans="1:24" s="1" customFormat="1" ht="57">
      <c r="A236" s="4" t="str">
        <f>"56"</f>
        <v>56</v>
      </c>
      <c r="B236" s="4" t="str">
        <f>"曹洪玲"</f>
        <v>曹洪玲</v>
      </c>
      <c r="C236" s="4" t="str">
        <f t="shared" si="83"/>
        <v>女        </v>
      </c>
      <c r="D236" s="4" t="str">
        <f>"布依族"</f>
        <v>布依族</v>
      </c>
      <c r="E236" s="4" t="str">
        <f>"贵州兴义"</f>
        <v>贵州兴义</v>
      </c>
      <c r="F236" s="4" t="str">
        <f>"1995年12月"</f>
        <v>1995年12月</v>
      </c>
      <c r="G236" s="4" t="str">
        <f t="shared" si="86"/>
        <v>共青团员</v>
      </c>
      <c r="H236" s="4" t="str">
        <f>"522321199512290623"</f>
        <v>522321199512290623</v>
      </c>
      <c r="I236" s="4" t="str">
        <f>"广西师范学院师园小学教育"</f>
        <v>广西师范学院师园小学教育</v>
      </c>
      <c r="J236" s="4" t="str">
        <f>"小学教育"</f>
        <v>小学教育</v>
      </c>
      <c r="K236" s="4" t="str">
        <f>"本科学士"</f>
        <v>本科学士</v>
      </c>
      <c r="L236" s="4" t="str">
        <f>"15186387670"</f>
        <v>15186387670</v>
      </c>
      <c r="M236" s="4" t="str">
        <f t="shared" si="73"/>
        <v>隆林县</v>
      </c>
      <c r="N236" s="4" t="str">
        <f>"贵州省兴义市富兴东路5号花月小区"</f>
        <v>贵州省兴义市富兴东路5号花月小区</v>
      </c>
      <c r="O236" s="4" t="str">
        <f>"2280070299@qq.com"</f>
        <v>2280070299@qq.com</v>
      </c>
      <c r="P236" s="4">
        <f>""</f>
      </c>
      <c r="Q236" s="4" t="str">
        <f>"2017.06.01"</f>
        <v>2017.06.01</v>
      </c>
      <c r="R236" s="4" t="str">
        <f>"是"</f>
        <v>是</v>
      </c>
      <c r="S236" s="4" t="str">
        <f>"2:小学"</f>
        <v>2:小学</v>
      </c>
      <c r="T236" s="4" t="str">
        <f>"暂无"</f>
        <v>暂无</v>
      </c>
      <c r="U236" s="4" t="str">
        <f>"暂无"</f>
        <v>暂无</v>
      </c>
      <c r="V236" s="4" t="str">
        <f t="shared" si="70"/>
        <v>小学</v>
      </c>
      <c r="W236" s="4" t="str">
        <f t="shared" si="71"/>
        <v>102:语文</v>
      </c>
      <c r="X236" s="4" t="str">
        <f t="shared" si="74"/>
        <v>通过</v>
      </c>
    </row>
    <row r="237" spans="1:24" s="1" customFormat="1" ht="85.5">
      <c r="A237" s="4" t="str">
        <f>"57"</f>
        <v>57</v>
      </c>
      <c r="B237" s="4" t="str">
        <f>"车富梅"</f>
        <v>车富梅</v>
      </c>
      <c r="C237" s="4" t="str">
        <f t="shared" si="83"/>
        <v>女        </v>
      </c>
      <c r="D237" s="4" t="str">
        <f>"彝族"</f>
        <v>彝族</v>
      </c>
      <c r="E237" s="4" t="str">
        <f>"云南省曲靖市富源县"</f>
        <v>云南省曲靖市富源县</v>
      </c>
      <c r="F237" s="4" t="str">
        <f>"1995年03月"</f>
        <v>1995年03月</v>
      </c>
      <c r="G237" s="4" t="str">
        <f t="shared" si="86"/>
        <v>共青团员</v>
      </c>
      <c r="H237" s="4" t="str">
        <f>"53032519950314112X"</f>
        <v>53032519950314112X</v>
      </c>
      <c r="I237" s="4" t="str">
        <f>"昭通学院思想政治教育"</f>
        <v>昭通学院思想政治教育</v>
      </c>
      <c r="J237" s="4" t="str">
        <f>"思想政治教育"</f>
        <v>思想政治教育</v>
      </c>
      <c r="K237" s="4" t="str">
        <f>"专科无学位"</f>
        <v>专科无学位</v>
      </c>
      <c r="L237" s="4" t="str">
        <f>"18387064281"</f>
        <v>18387064281</v>
      </c>
      <c r="M237" s="4" t="str">
        <f t="shared" si="73"/>
        <v>隆林县</v>
      </c>
      <c r="N237" s="4" t="str">
        <f>"云南省曲靖市富源县营上镇都格村委会鲁铁沟村25号"</f>
        <v>云南省曲靖市富源县营上镇都格村委会鲁铁沟村25号</v>
      </c>
      <c r="O237" s="4" t="str">
        <f>"2017341923@qq.com"</f>
        <v>2017341923@qq.com</v>
      </c>
      <c r="P237" s="4">
        <f>""</f>
      </c>
      <c r="Q237" s="4" t="str">
        <f>"2017.07.01"</f>
        <v>2017.07.01</v>
      </c>
      <c r="R237" s="4" t="str">
        <f>"是"</f>
        <v>是</v>
      </c>
      <c r="S237" s="4" t="str">
        <f>"3:初级中学"</f>
        <v>3:初级中学</v>
      </c>
      <c r="T237" s="4" t="str">
        <f>"暂无"</f>
        <v>暂无</v>
      </c>
      <c r="U237" s="4" t="str">
        <f>"暂无"</f>
        <v>暂无</v>
      </c>
      <c r="V237" s="4" t="str">
        <f t="shared" si="70"/>
        <v>小学</v>
      </c>
      <c r="W237" s="4" t="str">
        <f t="shared" si="71"/>
        <v>102:语文</v>
      </c>
      <c r="X237" s="4" t="str">
        <f t="shared" si="74"/>
        <v>通过</v>
      </c>
    </row>
    <row r="238" spans="1:24" s="1" customFormat="1" ht="71.25">
      <c r="A238" s="4" t="str">
        <f>"58"</f>
        <v>58</v>
      </c>
      <c r="B238" s="4" t="str">
        <f>"梁梦圆"</f>
        <v>梁梦圆</v>
      </c>
      <c r="C238" s="4" t="str">
        <f t="shared" si="83"/>
        <v>女        </v>
      </c>
      <c r="D238" s="4" t="str">
        <f>"壮族"</f>
        <v>壮族</v>
      </c>
      <c r="E238" s="4" t="str">
        <f>"百色隆林"</f>
        <v>百色隆林</v>
      </c>
      <c r="F238" s="4" t="str">
        <f>"1994年10月"</f>
        <v>1994年10月</v>
      </c>
      <c r="G238" s="4" t="str">
        <f t="shared" si="86"/>
        <v>共青团员</v>
      </c>
      <c r="H238" s="4" t="str">
        <f>"452631199410104560"</f>
        <v>452631199410104560</v>
      </c>
      <c r="I238" s="4" t="str">
        <f>"百色学院汉语"</f>
        <v>百色学院汉语</v>
      </c>
      <c r="J238" s="4" t="str">
        <f>"汉语"</f>
        <v>汉语</v>
      </c>
      <c r="K238" s="4" t="str">
        <f>"专科无学位"</f>
        <v>专科无学位</v>
      </c>
      <c r="L238" s="4" t="str">
        <f>"18377619848"</f>
        <v>18377619848</v>
      </c>
      <c r="M238" s="4" t="str">
        <f t="shared" si="73"/>
        <v>隆林县</v>
      </c>
      <c r="N238" s="4" t="str">
        <f>"广西省百色市隆林县岩茶乡岩茶村桥头屯01号"</f>
        <v>广西省百色市隆林县岩茶乡岩茶村桥头屯01号</v>
      </c>
      <c r="O238" s="4" t="str">
        <f>"1532348769@qq.com"</f>
        <v>1532348769@qq.com</v>
      </c>
      <c r="P238" s="4" t="str">
        <f>"2016.06.01"</f>
        <v>2016.06.01</v>
      </c>
      <c r="Q238" s="4" t="str">
        <f>"2016.06.01"</f>
        <v>2016.06.01</v>
      </c>
      <c r="R238" s="4" t="str">
        <f>"是"</f>
        <v>是</v>
      </c>
      <c r="S238" s="4" t="str">
        <f>"2:小学"</f>
        <v>2:小学</v>
      </c>
      <c r="T238" s="4" t="str">
        <f>"2017452015873"</f>
        <v>2017452015873</v>
      </c>
      <c r="U238" s="4" t="str">
        <f>"106091201606000548"</f>
        <v>106091201606000548</v>
      </c>
      <c r="V238" s="4" t="str">
        <f t="shared" si="70"/>
        <v>小学</v>
      </c>
      <c r="W238" s="4" t="str">
        <f t="shared" si="71"/>
        <v>102:语文</v>
      </c>
      <c r="X238" s="4" t="str">
        <f t="shared" si="74"/>
        <v>通过</v>
      </c>
    </row>
    <row r="239" spans="1:24" s="1" customFormat="1" ht="99.75">
      <c r="A239" s="4" t="str">
        <f>"59"</f>
        <v>59</v>
      </c>
      <c r="B239" s="4" t="str">
        <f>"张鸿景"</f>
        <v>张鸿景</v>
      </c>
      <c r="C239" s="4" t="str">
        <f t="shared" si="83"/>
        <v>女        </v>
      </c>
      <c r="D239" s="4" t="str">
        <f>"汉族"</f>
        <v>汉族</v>
      </c>
      <c r="E239" s="4" t="str">
        <f>"云南省昆明市盘龙区"</f>
        <v>云南省昆明市盘龙区</v>
      </c>
      <c r="F239" s="4" t="str">
        <f>"1993年01月"</f>
        <v>1993年01月</v>
      </c>
      <c r="G239" s="4" t="str">
        <f t="shared" si="86"/>
        <v>共青团员</v>
      </c>
      <c r="H239" s="4" t="str">
        <f>"530127199301015223"</f>
        <v>530127199301015223</v>
      </c>
      <c r="I239" s="4" t="str">
        <f>"德宏师范高等专科学校初等教育文科"</f>
        <v>德宏师范高等专科学校初等教育文科</v>
      </c>
      <c r="J239" s="4" t="str">
        <f>"初等教育文科"</f>
        <v>初等教育文科</v>
      </c>
      <c r="K239" s="4" t="str">
        <f>"专科无学位"</f>
        <v>专科无学位</v>
      </c>
      <c r="L239" s="4" t="str">
        <f>"13648822602"</f>
        <v>13648822602</v>
      </c>
      <c r="M239" s="4" t="str">
        <f t="shared" si="73"/>
        <v>隆林县</v>
      </c>
      <c r="N239" s="4" t="str">
        <f>"云南省昆明市盘龙区阿子营街道马军村委会马军一村36号"</f>
        <v>云南省昆明市盘龙区阿子营街道马军村委会马军一村36号</v>
      </c>
      <c r="O239" s="4" t="str">
        <f>"1308943152@qq.com"</f>
        <v>1308943152@qq.com</v>
      </c>
      <c r="P239" s="4" t="str">
        <f>"2015.03.01"</f>
        <v>2015.03.01</v>
      </c>
      <c r="Q239" s="4" t="str">
        <f>"2015.07.01"</f>
        <v>2015.07.01</v>
      </c>
      <c r="R239" s="4" t="str">
        <f>"是"</f>
        <v>是</v>
      </c>
      <c r="S239" s="4" t="str">
        <f>"2:小学"</f>
        <v>2:小学</v>
      </c>
      <c r="T239" s="4" t="str">
        <f>"20155311822000758"</f>
        <v>20155311822000758</v>
      </c>
      <c r="U239" s="4" t="str">
        <f>"140161201506000240"</f>
        <v>140161201506000240</v>
      </c>
      <c r="V239" s="4" t="str">
        <f t="shared" si="70"/>
        <v>小学</v>
      </c>
      <c r="W239" s="4" t="str">
        <f t="shared" si="71"/>
        <v>102:语文</v>
      </c>
      <c r="X239" s="4" t="str">
        <f t="shared" si="74"/>
        <v>通过</v>
      </c>
    </row>
    <row r="240" spans="1:24" s="1" customFormat="1" ht="71.25">
      <c r="A240" s="4" t="str">
        <f>"60"</f>
        <v>60</v>
      </c>
      <c r="B240" s="4" t="str">
        <f>"郭巧"</f>
        <v>郭巧</v>
      </c>
      <c r="C240" s="4" t="str">
        <f t="shared" si="83"/>
        <v>女        </v>
      </c>
      <c r="D240" s="4" t="str">
        <f>"汉族"</f>
        <v>汉族</v>
      </c>
      <c r="E240" s="4" t="str">
        <f>"广西隆林各族自治县"</f>
        <v>广西隆林各族自治县</v>
      </c>
      <c r="F240" s="4" t="str">
        <f>"1995年09月"</f>
        <v>1995年09月</v>
      </c>
      <c r="G240" s="4" t="str">
        <f>"中共预备党员"</f>
        <v>中共预备党员</v>
      </c>
      <c r="H240" s="4" t="str">
        <f>"452631199509120982"</f>
        <v>452631199509120982</v>
      </c>
      <c r="I240" s="4" t="str">
        <f>"南宁地区教育学院语文教育"</f>
        <v>南宁地区教育学院语文教育</v>
      </c>
      <c r="J240" s="4" t="str">
        <f>"语文教育"</f>
        <v>语文教育</v>
      </c>
      <c r="K240" s="4" t="str">
        <f>"专科无学位"</f>
        <v>专科无学位</v>
      </c>
      <c r="L240" s="4" t="str">
        <f>"18275995300"</f>
        <v>18275995300</v>
      </c>
      <c r="M240" s="4" t="str">
        <f t="shared" si="73"/>
        <v>隆林县</v>
      </c>
      <c r="N240" s="4" t="str">
        <f>"广西隆林各族自治县隆或镇隆或村五屯046号"</f>
        <v>广西隆林各族自治县隆或镇隆或村五屯046号</v>
      </c>
      <c r="O240" s="4" t="str">
        <f>"1350625065@qq.com"</f>
        <v>1350625065@qq.com</v>
      </c>
      <c r="P240" s="4">
        <f>""</f>
      </c>
      <c r="Q240" s="4" t="str">
        <f>"2017.07.01"</f>
        <v>2017.07.01</v>
      </c>
      <c r="R240" s="4" t="str">
        <f>"是"</f>
        <v>是</v>
      </c>
      <c r="S240" s="4" t="str">
        <f>"2:小学"</f>
        <v>2:小学</v>
      </c>
      <c r="T240" s="4" t="str">
        <f>"暂无"</f>
        <v>暂无</v>
      </c>
      <c r="U240" s="4" t="str">
        <f>"暂无"</f>
        <v>暂无</v>
      </c>
      <c r="V240" s="4" t="str">
        <f t="shared" si="70"/>
        <v>小学</v>
      </c>
      <c r="W240" s="4" t="str">
        <f t="shared" si="71"/>
        <v>102:语文</v>
      </c>
      <c r="X240" s="4" t="str">
        <f t="shared" si="74"/>
        <v>通过</v>
      </c>
    </row>
    <row r="241" spans="1:24" s="1" customFormat="1" ht="71.25">
      <c r="A241" s="4" t="str">
        <f>"61"</f>
        <v>61</v>
      </c>
      <c r="B241" s="4" t="str">
        <f>"阮贵亿"</f>
        <v>阮贵亿</v>
      </c>
      <c r="C241" s="4" t="str">
        <f t="shared" si="83"/>
        <v>女        </v>
      </c>
      <c r="D241" s="4" t="str">
        <f>"汉族"</f>
        <v>汉族</v>
      </c>
      <c r="E241" s="4" t="str">
        <f>"广西"</f>
        <v>广西</v>
      </c>
      <c r="F241" s="4" t="str">
        <f>"1992年10月"</f>
        <v>1992年10月</v>
      </c>
      <c r="G241" s="4" t="str">
        <f>"共青团员"</f>
        <v>共青团员</v>
      </c>
      <c r="H241" s="4" t="str">
        <f>"45263119921008100x"</f>
        <v>45263119921008100x</v>
      </c>
      <c r="I241" s="4" t="str">
        <f>"贵州医科大学神奇民族医药学院法学"</f>
        <v>贵州医科大学神奇民族医药学院法学</v>
      </c>
      <c r="J241" s="4" t="str">
        <f>"法学"</f>
        <v>法学</v>
      </c>
      <c r="K241" s="4" t="str">
        <f>"本科学士"</f>
        <v>本科学士</v>
      </c>
      <c r="L241" s="4" t="str">
        <f>"18177696454"</f>
        <v>18177696454</v>
      </c>
      <c r="M241" s="4" t="str">
        <f t="shared" si="73"/>
        <v>隆林县</v>
      </c>
      <c r="N241" s="4" t="str">
        <f>"广西省百色市隆林县隆或镇打兰村平上屯"</f>
        <v>广西省百色市隆林县隆或镇打兰村平上屯</v>
      </c>
      <c r="O241" s="4" t="str">
        <f>"1462645468@qq.com"</f>
        <v>1462645468@qq.com</v>
      </c>
      <c r="P241" s="4">
        <f>""</f>
      </c>
      <c r="Q241" s="4" t="str">
        <f>"2017.07.01"</f>
        <v>2017.07.01</v>
      </c>
      <c r="R241" s="4" t="str">
        <f>"不是"</f>
        <v>不是</v>
      </c>
      <c r="S241" s="4" t="str">
        <f>"0:暂未取得"</f>
        <v>0:暂未取得</v>
      </c>
      <c r="T241" s="4" t="str">
        <f>"暂无"</f>
        <v>暂无</v>
      </c>
      <c r="U241" s="4" t="str">
        <f>"136761201705000029"</f>
        <v>136761201705000029</v>
      </c>
      <c r="V241" s="4" t="str">
        <f t="shared" si="70"/>
        <v>小学</v>
      </c>
      <c r="W241" s="4" t="str">
        <f t="shared" si="71"/>
        <v>102:语文</v>
      </c>
      <c r="X241" s="4" t="str">
        <f t="shared" si="74"/>
        <v>通过</v>
      </c>
    </row>
    <row r="242" spans="1:24" s="1" customFormat="1" ht="85.5">
      <c r="A242" s="4" t="str">
        <f>"62"</f>
        <v>62</v>
      </c>
      <c r="B242" s="4" t="str">
        <f>"李肖"</f>
        <v>李肖</v>
      </c>
      <c r="C242" s="4" t="str">
        <f t="shared" si="83"/>
        <v>女        </v>
      </c>
      <c r="D242" s="4" t="str">
        <f>"壮族"</f>
        <v>壮族</v>
      </c>
      <c r="E242" s="4" t="str">
        <f>"广西隆林"</f>
        <v>广西隆林</v>
      </c>
      <c r="F242" s="4" t="str">
        <f>"1992年10月"</f>
        <v>1992年10月</v>
      </c>
      <c r="G242" s="4" t="str">
        <f>"共青团员"</f>
        <v>共青团员</v>
      </c>
      <c r="H242" s="4" t="str">
        <f>"452631199210260024"</f>
        <v>452631199210260024</v>
      </c>
      <c r="I242" s="4" t="str">
        <f>"广西民族大学人类学"</f>
        <v>广西民族大学人类学</v>
      </c>
      <c r="J242" s="4" t="str">
        <f>"人类学"</f>
        <v>人类学</v>
      </c>
      <c r="K242" s="4" t="str">
        <f>"本科学士"</f>
        <v>本科学士</v>
      </c>
      <c r="L242" s="4" t="str">
        <f>"13132913569"</f>
        <v>13132913569</v>
      </c>
      <c r="M242" s="4" t="str">
        <f t="shared" si="73"/>
        <v>隆林县</v>
      </c>
      <c r="N242" s="4" t="str">
        <f>"广西隆林各族自治县新州镇民族社区民族路151号"</f>
        <v>广西隆林各族自治县新州镇民族社区民族路151号</v>
      </c>
      <c r="O242" s="4" t="str">
        <f>"347119400@qq.com"</f>
        <v>347119400@qq.com</v>
      </c>
      <c r="P242" s="4" t="str">
        <f>"2017.05.01"</f>
        <v>2017.05.01</v>
      </c>
      <c r="Q242" s="4" t="str">
        <f>"2017.06.01"</f>
        <v>2017.06.01</v>
      </c>
      <c r="R242" s="4" t="str">
        <f>"不是"</f>
        <v>不是</v>
      </c>
      <c r="S242" s="4" t="str">
        <f>"0:暂未取得"</f>
        <v>0:暂未取得</v>
      </c>
      <c r="T242" s="4" t="str">
        <f>"无"</f>
        <v>无</v>
      </c>
      <c r="U242" s="4" t="str">
        <f>"无"</f>
        <v>无</v>
      </c>
      <c r="V242" s="4" t="str">
        <f t="shared" si="70"/>
        <v>小学</v>
      </c>
      <c r="W242" s="4" t="str">
        <f t="shared" si="71"/>
        <v>102:语文</v>
      </c>
      <c r="X242" s="4" t="str">
        <f t="shared" si="74"/>
        <v>通过</v>
      </c>
    </row>
    <row r="243" spans="1:24" s="1" customFormat="1" ht="99.75">
      <c r="A243" s="4" t="str">
        <f>"63"</f>
        <v>63</v>
      </c>
      <c r="B243" s="4" t="str">
        <f>"杨荣振"</f>
        <v>杨荣振</v>
      </c>
      <c r="C243" s="4" t="str">
        <f>"男        "</f>
        <v>男        </v>
      </c>
      <c r="D243" s="4" t="str">
        <f>"汉族"</f>
        <v>汉族</v>
      </c>
      <c r="E243" s="4" t="str">
        <f>"云南省文山州"</f>
        <v>云南省文山州</v>
      </c>
      <c r="F243" s="4" t="str">
        <f>"1996年07月"</f>
        <v>1996年07月</v>
      </c>
      <c r="G243" s="4" t="str">
        <f>"中共党员"</f>
        <v>中共党员</v>
      </c>
      <c r="H243" s="4" t="str">
        <f>"532625199607051717"</f>
        <v>532625199607051717</v>
      </c>
      <c r="I243" s="4" t="str">
        <f>"滇西科技师范学院初等教育文科"</f>
        <v>滇西科技师范学院初等教育文科</v>
      </c>
      <c r="J243" s="4" t="str">
        <f>"初等教育文科"</f>
        <v>初等教育文科</v>
      </c>
      <c r="K243" s="4" t="str">
        <f>"专科无学位"</f>
        <v>专科无学位</v>
      </c>
      <c r="L243" s="4" t="str">
        <f>"15108839374"</f>
        <v>15108839374</v>
      </c>
      <c r="M243" s="4" t="str">
        <f t="shared" si="73"/>
        <v>隆林县</v>
      </c>
      <c r="N243" s="4" t="str">
        <f>"云南省文山壮族苗族自治州马关县篾厂乡大吉厂村委会小"</f>
        <v>云南省文山壮族苗族自治州马关县篾厂乡大吉厂村委会小</v>
      </c>
      <c r="O243" s="4" t="str">
        <f>"1403512947@qq.com"</f>
        <v>1403512947@qq.com</v>
      </c>
      <c r="P243" s="4">
        <f>""</f>
      </c>
      <c r="Q243" s="4" t="str">
        <f>"2017.06.01"</f>
        <v>2017.06.01</v>
      </c>
      <c r="R243" s="4" t="str">
        <f>"是"</f>
        <v>是</v>
      </c>
      <c r="S243" s="4" t="str">
        <f>"2:小学"</f>
        <v>2:小学</v>
      </c>
      <c r="T243" s="4" t="str">
        <f>"暂无"</f>
        <v>暂无</v>
      </c>
      <c r="U243" s="4" t="str">
        <f>"140921201706000958"</f>
        <v>140921201706000958</v>
      </c>
      <c r="V243" s="4" t="str">
        <f t="shared" si="70"/>
        <v>小学</v>
      </c>
      <c r="W243" s="4" t="str">
        <f t="shared" si="71"/>
        <v>102:语文</v>
      </c>
      <c r="X243" s="4" t="str">
        <f t="shared" si="74"/>
        <v>通过</v>
      </c>
    </row>
    <row r="244" spans="1:24" s="1" customFormat="1" ht="57">
      <c r="A244" s="4" t="str">
        <f>"64"</f>
        <v>64</v>
      </c>
      <c r="B244" s="4" t="str">
        <f>"王蓉蓉"</f>
        <v>王蓉蓉</v>
      </c>
      <c r="C244" s="4" t="str">
        <f>"女        "</f>
        <v>女        </v>
      </c>
      <c r="D244" s="4" t="str">
        <f>"汉族"</f>
        <v>汉族</v>
      </c>
      <c r="E244" s="4" t="str">
        <f>"云南曲靖陆良"</f>
        <v>云南曲靖陆良</v>
      </c>
      <c r="F244" s="4" t="str">
        <f>"1992年09月"</f>
        <v>1992年09月</v>
      </c>
      <c r="G244" s="4" t="str">
        <f>"中共党员"</f>
        <v>中共党员</v>
      </c>
      <c r="H244" s="4" t="str">
        <f>"530322199209290045"</f>
        <v>530322199209290045</v>
      </c>
      <c r="I244" s="4" t="str">
        <f>"云南普洱学院语文"</f>
        <v>云南普洱学院语文</v>
      </c>
      <c r="J244" s="4" t="str">
        <f>"语文"</f>
        <v>语文</v>
      </c>
      <c r="K244" s="4" t="str">
        <f>"专科无学位"</f>
        <v>专科无学位</v>
      </c>
      <c r="L244" s="4" t="str">
        <f>"18987934973"</f>
        <v>18987934973</v>
      </c>
      <c r="M244" s="4" t="str">
        <f t="shared" si="73"/>
        <v>隆林县</v>
      </c>
      <c r="N244" s="4" t="str">
        <f>"云南省曲靖市陆良县中枢镇大泼村"</f>
        <v>云南省曲靖市陆良县中枢镇大泼村</v>
      </c>
      <c r="O244" s="4" t="str">
        <f>"1731172778@qq.com"</f>
        <v>1731172778@qq.com</v>
      </c>
      <c r="P244" s="4" t="str">
        <f>"2014.07.01"</f>
        <v>2014.07.01</v>
      </c>
      <c r="Q244" s="4" t="str">
        <f>"2014.07.01"</f>
        <v>2014.07.01</v>
      </c>
      <c r="R244" s="4" t="str">
        <f>"是"</f>
        <v>是</v>
      </c>
      <c r="S244" s="4" t="str">
        <f>"3:初级中学"</f>
        <v>3:初级中学</v>
      </c>
      <c r="T244" s="4" t="str">
        <f>"20145308332001416"</f>
        <v>20145308332001416</v>
      </c>
      <c r="U244" s="4" t="str">
        <f>"106851201406000643"</f>
        <v>106851201406000643</v>
      </c>
      <c r="V244" s="4" t="str">
        <f t="shared" si="70"/>
        <v>小学</v>
      </c>
      <c r="W244" s="4" t="str">
        <f t="shared" si="71"/>
        <v>102:语文</v>
      </c>
      <c r="X244" s="4" t="str">
        <f t="shared" si="74"/>
        <v>通过</v>
      </c>
    </row>
    <row r="245" spans="1:24" s="1" customFormat="1" ht="85.5">
      <c r="A245" s="4" t="str">
        <f>"65"</f>
        <v>65</v>
      </c>
      <c r="B245" s="4" t="str">
        <f>"陈碧国"</f>
        <v>陈碧国</v>
      </c>
      <c r="C245" s="4" t="str">
        <f>"男        "</f>
        <v>男        </v>
      </c>
      <c r="D245" s="4" t="str">
        <f>"汉族"</f>
        <v>汉族</v>
      </c>
      <c r="E245" s="4" t="str">
        <f>"云南省昭通市鲁甸县"</f>
        <v>云南省昭通市鲁甸县</v>
      </c>
      <c r="F245" s="4" t="str">
        <f>"1994年11月"</f>
        <v>1994年11月</v>
      </c>
      <c r="G245" s="4" t="str">
        <f>"共青团员"</f>
        <v>共青团员</v>
      </c>
      <c r="H245" s="4" t="str">
        <f>"532122199411170814"</f>
        <v>532122199411170814</v>
      </c>
      <c r="I245" s="4" t="str">
        <f>"滇西科技师范学院语文教育"</f>
        <v>滇西科技师范学院语文教育</v>
      </c>
      <c r="J245" s="4" t="str">
        <f>"语文教育"</f>
        <v>语文教育</v>
      </c>
      <c r="K245" s="4" t="str">
        <f>"专科无学位"</f>
        <v>专科无学位</v>
      </c>
      <c r="L245" s="4" t="str">
        <f>"18388861878"</f>
        <v>18388861878</v>
      </c>
      <c r="M245" s="4" t="str">
        <f t="shared" si="73"/>
        <v>隆林县</v>
      </c>
      <c r="N245" s="4" t="str">
        <f>"云南省昭通市鲁甸县小寨乡赵家海村白草坪社35号"</f>
        <v>云南省昭通市鲁甸县小寨乡赵家海村白草坪社35号</v>
      </c>
      <c r="O245" s="4" t="str">
        <f>"944101948@qq.com"</f>
        <v>944101948@qq.com</v>
      </c>
      <c r="P245" s="4">
        <f>""</f>
      </c>
      <c r="Q245" s="4" t="str">
        <f>"2017.07.01"</f>
        <v>2017.07.01</v>
      </c>
      <c r="R245" s="4" t="str">
        <f>"是"</f>
        <v>是</v>
      </c>
      <c r="S245" s="4" t="str">
        <f>"3:初级中学"</f>
        <v>3:初级中学</v>
      </c>
      <c r="T245" s="4" t="str">
        <f>"2017届毕业生填暂无"</f>
        <v>2017届毕业生填暂无</v>
      </c>
      <c r="U245" s="4" t="str">
        <f>"140921201706000519"</f>
        <v>140921201706000519</v>
      </c>
      <c r="V245" s="4" t="str">
        <f aca="true" t="shared" si="87" ref="V245:V308">"小学"</f>
        <v>小学</v>
      </c>
      <c r="W245" s="4" t="str">
        <f aca="true" t="shared" si="88" ref="W245:W297">"102:语文"</f>
        <v>102:语文</v>
      </c>
      <c r="X245" s="4" t="str">
        <f t="shared" si="74"/>
        <v>通过</v>
      </c>
    </row>
    <row r="246" spans="1:24" s="1" customFormat="1" ht="71.25">
      <c r="A246" s="4" t="str">
        <f>"66"</f>
        <v>66</v>
      </c>
      <c r="B246" s="4" t="str">
        <f>"罗明梦"</f>
        <v>罗明梦</v>
      </c>
      <c r="C246" s="4" t="str">
        <f>"女        "</f>
        <v>女        </v>
      </c>
      <c r="D246" s="4" t="str">
        <f>"彝族"</f>
        <v>彝族</v>
      </c>
      <c r="E246" s="4" t="str">
        <f>"云南文山"</f>
        <v>云南文山</v>
      </c>
      <c r="F246" s="4" t="str">
        <f>"1993年01月"</f>
        <v>1993年01月</v>
      </c>
      <c r="G246" s="4" t="str">
        <f>"共青团员"</f>
        <v>共青团员</v>
      </c>
      <c r="H246" s="4" t="str">
        <f>"532627199301031521"</f>
        <v>532627199301031521</v>
      </c>
      <c r="I246" s="4" t="str">
        <f>"云南师范大学文理学院对外汉语"</f>
        <v>云南师范大学文理学院对外汉语</v>
      </c>
      <c r="J246" s="4" t="str">
        <f>"对外汉语"</f>
        <v>对外汉语</v>
      </c>
      <c r="K246" s="4" t="str">
        <f>"本科学士"</f>
        <v>本科学士</v>
      </c>
      <c r="L246" s="4" t="str">
        <f>"18277002618"</f>
        <v>18277002618</v>
      </c>
      <c r="M246" s="4" t="str">
        <f t="shared" si="73"/>
        <v>隆林县</v>
      </c>
      <c r="N246" s="4" t="str">
        <f>"云南省文山州广南县八宝镇交播办事处交播村"</f>
        <v>云南省文山州广南县八宝镇交播办事处交播村</v>
      </c>
      <c r="O246" s="4" t="str">
        <f>"251580464@qq.com"</f>
        <v>251580464@qq.com</v>
      </c>
      <c r="P246" s="4">
        <f>""</f>
      </c>
      <c r="Q246" s="4" t="str">
        <f>"2016.07.01"</f>
        <v>2016.07.01</v>
      </c>
      <c r="R246" s="4" t="str">
        <f>"不是"</f>
        <v>不是</v>
      </c>
      <c r="S246" s="4" t="str">
        <f>"4:高级中学"</f>
        <v>4:高级中学</v>
      </c>
      <c r="T246" s="4" t="str">
        <f>"20165300242000897"</f>
        <v>20165300242000897</v>
      </c>
      <c r="U246" s="4" t="str">
        <f>"133311201605002118"</f>
        <v>133311201605002118</v>
      </c>
      <c r="V246" s="4" t="str">
        <f t="shared" si="87"/>
        <v>小学</v>
      </c>
      <c r="W246" s="4" t="str">
        <f t="shared" si="88"/>
        <v>102:语文</v>
      </c>
      <c r="X246" s="4" t="str">
        <f t="shared" si="74"/>
        <v>通过</v>
      </c>
    </row>
    <row r="247" spans="1:24" s="1" customFormat="1" ht="99.75">
      <c r="A247" s="4" t="str">
        <f>"67"</f>
        <v>67</v>
      </c>
      <c r="B247" s="4" t="str">
        <f>"冯光金"</f>
        <v>冯光金</v>
      </c>
      <c r="C247" s="4" t="str">
        <f>"女        "</f>
        <v>女        </v>
      </c>
      <c r="D247" s="4" t="str">
        <f>"汉族"</f>
        <v>汉族</v>
      </c>
      <c r="E247" s="4" t="str">
        <f>"云南省文山州"</f>
        <v>云南省文山州</v>
      </c>
      <c r="F247" s="4" t="str">
        <f>"1995年02月"</f>
        <v>1995年02月</v>
      </c>
      <c r="G247" s="4" t="str">
        <f>"共青团员"</f>
        <v>共青团员</v>
      </c>
      <c r="H247" s="4" t="str">
        <f>"532625199502082947"</f>
        <v>532625199502082947</v>
      </c>
      <c r="I247" s="4" t="str">
        <f>"滇西科技师范学院初等教育文科"</f>
        <v>滇西科技师范学院初等教育文科</v>
      </c>
      <c r="J247" s="4" t="str">
        <f>"初等教育文科"</f>
        <v>初等教育文科</v>
      </c>
      <c r="K247" s="4" t="str">
        <f>"专科无学位"</f>
        <v>专科无学位</v>
      </c>
      <c r="L247" s="4" t="str">
        <f>"18288361863"</f>
        <v>18288361863</v>
      </c>
      <c r="M247" s="4" t="str">
        <f t="shared" si="73"/>
        <v>隆林县</v>
      </c>
      <c r="N247" s="4" t="str">
        <f>"云南省文山壮族苗族自治州马关县都龙镇保良街村委会老"</f>
        <v>云南省文山壮族苗族自治州马关县都龙镇保良街村委会老</v>
      </c>
      <c r="O247" s="4" t="str">
        <f>"1441182957@qq.com"</f>
        <v>1441182957@qq.com</v>
      </c>
      <c r="P247" s="4">
        <f>""</f>
      </c>
      <c r="Q247" s="4" t="str">
        <f>"2017.06.01"</f>
        <v>2017.06.01</v>
      </c>
      <c r="R247" s="4" t="str">
        <f>"是"</f>
        <v>是</v>
      </c>
      <c r="S247" s="4" t="str">
        <f>"2:小学"</f>
        <v>2:小学</v>
      </c>
      <c r="T247" s="4" t="str">
        <f>"暂无"</f>
        <v>暂无</v>
      </c>
      <c r="U247" s="4" t="str">
        <f>"140921201706000953"</f>
        <v>140921201706000953</v>
      </c>
      <c r="V247" s="4" t="str">
        <f t="shared" si="87"/>
        <v>小学</v>
      </c>
      <c r="W247" s="4" t="str">
        <f t="shared" si="88"/>
        <v>102:语文</v>
      </c>
      <c r="X247" s="4" t="str">
        <f t="shared" si="74"/>
        <v>通过</v>
      </c>
    </row>
    <row r="248" spans="1:24" s="1" customFormat="1" ht="71.25">
      <c r="A248" s="4" t="str">
        <f>"68"</f>
        <v>68</v>
      </c>
      <c r="B248" s="4" t="str">
        <f>"程金艳"</f>
        <v>程金艳</v>
      </c>
      <c r="C248" s="4" t="str">
        <f>"女        "</f>
        <v>女        </v>
      </c>
      <c r="D248" s="4" t="str">
        <f>"汉族"</f>
        <v>汉族</v>
      </c>
      <c r="E248" s="4" t="str">
        <f>"云南省曲靖市陆良县"</f>
        <v>云南省曲靖市陆良县</v>
      </c>
      <c r="F248" s="4" t="str">
        <f>"1992年04月"</f>
        <v>1992年04月</v>
      </c>
      <c r="G248" s="4" t="str">
        <f>"共青团员"</f>
        <v>共青团员</v>
      </c>
      <c r="H248" s="4" t="str">
        <f>"530322199204022682"</f>
        <v>530322199204022682</v>
      </c>
      <c r="I248" s="4" t="str">
        <f>"楚雄师范学院小学教育"</f>
        <v>楚雄师范学院小学教育</v>
      </c>
      <c r="J248" s="4" t="str">
        <f>"小学教育"</f>
        <v>小学教育</v>
      </c>
      <c r="K248" s="4" t="str">
        <f>"本科学士"</f>
        <v>本科学士</v>
      </c>
      <c r="L248" s="4" t="str">
        <f>"15687431161"</f>
        <v>15687431161</v>
      </c>
      <c r="M248" s="4" t="str">
        <f t="shared" si="73"/>
        <v>隆林县</v>
      </c>
      <c r="N248" s="4" t="str">
        <f>"云南省曲靖市陆良县小百户镇兴仁村委会"</f>
        <v>云南省曲靖市陆良县小百户镇兴仁村委会</v>
      </c>
      <c r="O248" s="4" t="str">
        <f>"1349970378@qq.com"</f>
        <v>1349970378@qq.com</v>
      </c>
      <c r="P248" s="4" t="str">
        <f>"2016.11.01"</f>
        <v>2016.11.01</v>
      </c>
      <c r="Q248" s="4" t="str">
        <f>"2015.07.01"</f>
        <v>2015.07.01</v>
      </c>
      <c r="R248" s="4" t="str">
        <f>"是"</f>
        <v>是</v>
      </c>
      <c r="S248" s="4" t="str">
        <f>"2:小学"</f>
        <v>2:小学</v>
      </c>
      <c r="T248" s="4" t="str">
        <f>"20155303922000084"</f>
        <v>20155303922000084</v>
      </c>
      <c r="U248" s="4" t="str">
        <f>"113911201505003260"</f>
        <v>113911201505003260</v>
      </c>
      <c r="V248" s="4" t="str">
        <f t="shared" si="87"/>
        <v>小学</v>
      </c>
      <c r="W248" s="4" t="str">
        <f t="shared" si="88"/>
        <v>102:语文</v>
      </c>
      <c r="X248" s="4" t="str">
        <f t="shared" si="74"/>
        <v>通过</v>
      </c>
    </row>
    <row r="249" spans="1:24" s="1" customFormat="1" ht="85.5">
      <c r="A249" s="4" t="str">
        <f>"69"</f>
        <v>69</v>
      </c>
      <c r="B249" s="4" t="str">
        <f>"杨平旺"</f>
        <v>杨平旺</v>
      </c>
      <c r="C249" s="4" t="str">
        <f>"男        "</f>
        <v>男        </v>
      </c>
      <c r="D249" s="4" t="str">
        <f>"苗族"</f>
        <v>苗族</v>
      </c>
      <c r="E249" s="4" t="str">
        <f>"广西隆林"</f>
        <v>广西隆林</v>
      </c>
      <c r="F249" s="4" t="str">
        <f>"1993年01月"</f>
        <v>1993年01月</v>
      </c>
      <c r="G249" s="4" t="str">
        <f>"中共预备党员"</f>
        <v>中共预备党员</v>
      </c>
      <c r="H249" s="4" t="str">
        <f>"452631199301243158"</f>
        <v>452631199301243158</v>
      </c>
      <c r="I249" s="4" t="str">
        <f>"广西大学水产养殖学"</f>
        <v>广西大学水产养殖学</v>
      </c>
      <c r="J249" s="4" t="str">
        <f>"水产养殖学"</f>
        <v>水产养殖学</v>
      </c>
      <c r="K249" s="4" t="str">
        <f>"本科学士"</f>
        <v>本科学士</v>
      </c>
      <c r="L249" s="4" t="str">
        <f>"15777106708"</f>
        <v>15777106708</v>
      </c>
      <c r="M249" s="4" t="str">
        <f t="shared" si="73"/>
        <v>隆林县</v>
      </c>
      <c r="N249" s="4" t="str">
        <f>"广西百色市隆林各族自治县德峨镇八科村八科屯"</f>
        <v>广西百色市隆林各族自治县德峨镇八科村八科屯</v>
      </c>
      <c r="O249" s="4" t="str">
        <f>"1171165541@qq.com"</f>
        <v>1171165541@qq.com</v>
      </c>
      <c r="P249" s="4" t="str">
        <f>"2017.05.01"</f>
        <v>2017.05.01</v>
      </c>
      <c r="Q249" s="4" t="str">
        <f>"2017.07.01"</f>
        <v>2017.07.01</v>
      </c>
      <c r="R249" s="4" t="str">
        <f>"不是"</f>
        <v>不是</v>
      </c>
      <c r="S249" s="4" t="str">
        <f>"0:暂未取得"</f>
        <v>0:暂未取得</v>
      </c>
      <c r="T249" s="4" t="str">
        <f>"暂无"</f>
        <v>暂无</v>
      </c>
      <c r="U249" s="4" t="str">
        <f>"暂无"</f>
        <v>暂无</v>
      </c>
      <c r="V249" s="4" t="str">
        <f t="shared" si="87"/>
        <v>小学</v>
      </c>
      <c r="W249" s="4" t="str">
        <f t="shared" si="88"/>
        <v>102:语文</v>
      </c>
      <c r="X249" s="4" t="str">
        <f t="shared" si="74"/>
        <v>通过</v>
      </c>
    </row>
    <row r="250" spans="1:24" s="1" customFormat="1" ht="57">
      <c r="A250" s="4" t="str">
        <f>"70"</f>
        <v>70</v>
      </c>
      <c r="B250" s="4" t="str">
        <f>"苏怡"</f>
        <v>苏怡</v>
      </c>
      <c r="C250" s="4" t="str">
        <f>"女        "</f>
        <v>女        </v>
      </c>
      <c r="D250" s="4" t="str">
        <f>"汉族"</f>
        <v>汉族</v>
      </c>
      <c r="E250" s="4" t="str">
        <f>"云南"</f>
        <v>云南</v>
      </c>
      <c r="F250" s="4" t="str">
        <f>"1994年08月"</f>
        <v>1994年08月</v>
      </c>
      <c r="G250" s="4" t="str">
        <f>"共青团员"</f>
        <v>共青团员</v>
      </c>
      <c r="H250" s="4" t="str">
        <f>"532622199408140742"</f>
        <v>532622199408140742</v>
      </c>
      <c r="I250" s="4" t="str">
        <f>"丽江师范高等专科学校思想政治教育"</f>
        <v>丽江师范高等专科学校思想政治教育</v>
      </c>
      <c r="J250" s="4" t="str">
        <f>"思想政治教育"</f>
        <v>思想政治教育</v>
      </c>
      <c r="K250" s="4" t="str">
        <f>"专科无学位"</f>
        <v>专科无学位</v>
      </c>
      <c r="L250" s="4" t="str">
        <f>"18387646462"</f>
        <v>18387646462</v>
      </c>
      <c r="M250" s="4" t="str">
        <f t="shared" si="73"/>
        <v>隆林县</v>
      </c>
      <c r="N250" s="4" t="str">
        <f>"云南省文山州砚山县稼依镇"</f>
        <v>云南省文山州砚山县稼依镇</v>
      </c>
      <c r="O250" s="4" t="str">
        <f>"815177740@qq.com"</f>
        <v>815177740@qq.com</v>
      </c>
      <c r="P250" s="4">
        <f>""</f>
      </c>
      <c r="Q250" s="4" t="str">
        <f>"2015.07.01"</f>
        <v>2015.07.01</v>
      </c>
      <c r="R250" s="4" t="str">
        <f aca="true" t="shared" si="89" ref="R250:R260">"是"</f>
        <v>是</v>
      </c>
      <c r="S250" s="4" t="str">
        <f>"3:初级中学"</f>
        <v>3:初级中学</v>
      </c>
      <c r="T250" s="4" t="str">
        <f>"20155312432000702"</f>
        <v>20155312432000702</v>
      </c>
      <c r="U250" s="4" t="str">
        <f>"140151201506000092"</f>
        <v>140151201506000092</v>
      </c>
      <c r="V250" s="4" t="str">
        <f t="shared" si="87"/>
        <v>小学</v>
      </c>
      <c r="W250" s="4" t="str">
        <f t="shared" si="88"/>
        <v>102:语文</v>
      </c>
      <c r="X250" s="4" t="str">
        <f t="shared" si="74"/>
        <v>通过</v>
      </c>
    </row>
    <row r="251" spans="1:24" s="1" customFormat="1" ht="99.75">
      <c r="A251" s="4" t="str">
        <f>"71"</f>
        <v>71</v>
      </c>
      <c r="B251" s="4" t="str">
        <f>"张效议"</f>
        <v>张效议</v>
      </c>
      <c r="C251" s="4" t="str">
        <f>"女        "</f>
        <v>女        </v>
      </c>
      <c r="D251" s="4" t="str">
        <f>"汉族"</f>
        <v>汉族</v>
      </c>
      <c r="E251" s="4" t="str">
        <f>"广西百色"</f>
        <v>广西百色</v>
      </c>
      <c r="F251" s="4" t="str">
        <f>"1992年11月"</f>
        <v>1992年11月</v>
      </c>
      <c r="G251" s="4" t="str">
        <f>"共青团员"</f>
        <v>共青团员</v>
      </c>
      <c r="H251" s="4" t="str">
        <f>"530325199211102321"</f>
        <v>530325199211102321</v>
      </c>
      <c r="I251" s="4" t="str">
        <f>"普洱学院语文教育"</f>
        <v>普洱学院语文教育</v>
      </c>
      <c r="J251" s="4" t="str">
        <f>"语文教育"</f>
        <v>语文教育</v>
      </c>
      <c r="K251" s="4" t="str">
        <f>"专科无学位"</f>
        <v>专科无学位</v>
      </c>
      <c r="L251" s="4" t="str">
        <f>"18487759316"</f>
        <v>18487759316</v>
      </c>
      <c r="M251" s="4" t="str">
        <f t="shared" si="73"/>
        <v>隆林县</v>
      </c>
      <c r="N251" s="4" t="str">
        <f>"广西壮族自治区百色市隆林各族自治县新洲镇迎宾路1900"</f>
        <v>广西壮族自治区百色市隆林各族自治县新洲镇迎宾路1900</v>
      </c>
      <c r="O251" s="4" t="str">
        <f>"2576969953@qq.com"</f>
        <v>2576969953@qq.com</v>
      </c>
      <c r="P251" s="4">
        <f>""</f>
      </c>
      <c r="Q251" s="4" t="str">
        <f>"2016.06.01"</f>
        <v>2016.06.01</v>
      </c>
      <c r="R251" s="4" t="str">
        <f t="shared" si="89"/>
        <v>是</v>
      </c>
      <c r="S251" s="4" t="str">
        <f>"3:初级中学"</f>
        <v>3:初级中学</v>
      </c>
      <c r="T251" s="4" t="str">
        <f>"20165308332000896"</f>
        <v>20165308332000896</v>
      </c>
      <c r="U251" s="4" t="str">
        <f>"106851201606000837"</f>
        <v>106851201606000837</v>
      </c>
      <c r="V251" s="4" t="str">
        <f t="shared" si="87"/>
        <v>小学</v>
      </c>
      <c r="W251" s="4" t="str">
        <f t="shared" si="88"/>
        <v>102:语文</v>
      </c>
      <c r="X251" s="4" t="str">
        <f t="shared" si="74"/>
        <v>通过</v>
      </c>
    </row>
    <row r="252" spans="1:24" s="1" customFormat="1" ht="85.5">
      <c r="A252" s="4" t="str">
        <f>"72"</f>
        <v>72</v>
      </c>
      <c r="B252" s="4" t="str">
        <f>"杨秀玉"</f>
        <v>杨秀玉</v>
      </c>
      <c r="C252" s="4" t="str">
        <f>"女        "</f>
        <v>女        </v>
      </c>
      <c r="D252" s="4" t="str">
        <f>"汉族"</f>
        <v>汉族</v>
      </c>
      <c r="E252" s="4" t="str">
        <f>"广西隆林各族自治县"</f>
        <v>广西隆林各族自治县</v>
      </c>
      <c r="F252" s="4" t="str">
        <f>"1995年11月"</f>
        <v>1995年11月</v>
      </c>
      <c r="G252" s="4" t="str">
        <f>"共青团员"</f>
        <v>共青团员</v>
      </c>
      <c r="H252" s="4" t="str">
        <f>"452631199511140982"</f>
        <v>452631199511140982</v>
      </c>
      <c r="I252" s="4" t="str">
        <f>"广西幼儿师范高等专科学校学前教育"</f>
        <v>广西幼儿师范高等专科学校学前教育</v>
      </c>
      <c r="J252" s="4" t="str">
        <f>"学前教育"</f>
        <v>学前教育</v>
      </c>
      <c r="K252" s="4" t="str">
        <f>"本科学士"</f>
        <v>本科学士</v>
      </c>
      <c r="L252" s="4" t="str">
        <f>"18278682009"</f>
        <v>18278682009</v>
      </c>
      <c r="M252" s="4" t="str">
        <f t="shared" si="73"/>
        <v>隆林县</v>
      </c>
      <c r="N252" s="4" t="str">
        <f>"广西隆林各族自治县隆或镇者隆村核桃树屯013号"</f>
        <v>广西隆林各族自治县隆或镇者隆村核桃树屯013号</v>
      </c>
      <c r="O252" s="4" t="str">
        <f>"573017054@qq.com"</f>
        <v>573017054@qq.com</v>
      </c>
      <c r="P252" s="4" t="str">
        <f>"2017.05.01"</f>
        <v>2017.05.01</v>
      </c>
      <c r="Q252" s="4" t="str">
        <f>"2017.06.01"</f>
        <v>2017.06.01</v>
      </c>
      <c r="R252" s="4" t="str">
        <f t="shared" si="89"/>
        <v>是</v>
      </c>
      <c r="S252" s="4" t="str">
        <f>"1:幼儿园"</f>
        <v>1:幼儿园</v>
      </c>
      <c r="T252" s="4" t="str">
        <f>"20154501212000458"</f>
        <v>20154501212000458</v>
      </c>
      <c r="U252" s="4" t="str">
        <f>"65450101132119957"</f>
        <v>65450101132119957</v>
      </c>
      <c r="V252" s="4" t="str">
        <f t="shared" si="87"/>
        <v>小学</v>
      </c>
      <c r="W252" s="4" t="str">
        <f t="shared" si="88"/>
        <v>102:语文</v>
      </c>
      <c r="X252" s="4" t="str">
        <f t="shared" si="74"/>
        <v>通过</v>
      </c>
    </row>
    <row r="253" spans="1:24" s="1" customFormat="1" ht="85.5">
      <c r="A253" s="4" t="str">
        <f>"73"</f>
        <v>73</v>
      </c>
      <c r="B253" s="4" t="str">
        <f>"王巧"</f>
        <v>王巧</v>
      </c>
      <c r="C253" s="4" t="str">
        <f>"女        "</f>
        <v>女        </v>
      </c>
      <c r="D253" s="4" t="str">
        <f>"汉族"</f>
        <v>汉族</v>
      </c>
      <c r="E253" s="4" t="str">
        <f>"云南曲靖师宗"</f>
        <v>云南曲靖师宗</v>
      </c>
      <c r="F253" s="4" t="str">
        <f>"1993年03月"</f>
        <v>1993年03月</v>
      </c>
      <c r="G253" s="4" t="str">
        <f>"共青团员"</f>
        <v>共青团员</v>
      </c>
      <c r="H253" s="4" t="str">
        <f>"530323199303031927"</f>
        <v>530323199303031927</v>
      </c>
      <c r="I253" s="4" t="str">
        <f>"临沧师范高等专科学校语文"</f>
        <v>临沧师范高等专科学校语文</v>
      </c>
      <c r="J253" s="4" t="str">
        <f>"语文"</f>
        <v>语文</v>
      </c>
      <c r="K253" s="4" t="str">
        <f>"专科无学位"</f>
        <v>专科无学位</v>
      </c>
      <c r="L253" s="4" t="str">
        <f>"15887492869"</f>
        <v>15887492869</v>
      </c>
      <c r="M253" s="4" t="str">
        <f t="shared" si="73"/>
        <v>隆林县</v>
      </c>
      <c r="N253" s="4" t="str">
        <f>"云南省曲靖市师宗县雄壁镇法召村委会小法召村"</f>
        <v>云南省曲靖市师宗县雄壁镇法召村委会小法召村</v>
      </c>
      <c r="O253" s="4" t="str">
        <f>"1970758252@qq.com"</f>
        <v>1970758252@qq.com</v>
      </c>
      <c r="P253" s="4" t="str">
        <f>"2015.08.01"</f>
        <v>2015.08.01</v>
      </c>
      <c r="Q253" s="4" t="str">
        <f>"2014.07.01"</f>
        <v>2014.07.01</v>
      </c>
      <c r="R253" s="4" t="str">
        <f t="shared" si="89"/>
        <v>是</v>
      </c>
      <c r="S253" s="4" t="str">
        <f>"3:初级中学"</f>
        <v>3:初级中学</v>
      </c>
      <c r="T253" s="4" t="str">
        <f>"20145313832000938"</f>
        <v>20145313832000938</v>
      </c>
      <c r="U253" s="4" t="str">
        <f>"140921201406001330"</f>
        <v>140921201406001330</v>
      </c>
      <c r="V253" s="4" t="str">
        <f t="shared" si="87"/>
        <v>小学</v>
      </c>
      <c r="W253" s="4" t="str">
        <f t="shared" si="88"/>
        <v>102:语文</v>
      </c>
      <c r="X253" s="4" t="str">
        <f t="shared" si="74"/>
        <v>通过</v>
      </c>
    </row>
    <row r="254" spans="1:24" s="1" customFormat="1" ht="85.5">
      <c r="A254" s="4" t="str">
        <f>"74"</f>
        <v>74</v>
      </c>
      <c r="B254" s="4" t="str">
        <f>"龚国美"</f>
        <v>龚国美</v>
      </c>
      <c r="C254" s="4" t="str">
        <f>"女        "</f>
        <v>女        </v>
      </c>
      <c r="D254" s="4" t="str">
        <f>"汉族"</f>
        <v>汉族</v>
      </c>
      <c r="E254" s="4" t="str">
        <f>"贵州兴仁"</f>
        <v>贵州兴仁</v>
      </c>
      <c r="F254" s="4" t="str">
        <f>"1991年07月"</f>
        <v>1991年07月</v>
      </c>
      <c r="G254" s="4" t="str">
        <f>"群众"</f>
        <v>群众</v>
      </c>
      <c r="H254" s="4" t="str">
        <f>"522322199107210024"</f>
        <v>522322199107210024</v>
      </c>
      <c r="I254" s="4" t="str">
        <f>"兴义民族师范学院初等教育小学教育文科方向"</f>
        <v>兴义民族师范学院初等教育小学教育文科方向</v>
      </c>
      <c r="J254" s="4" t="str">
        <f>"初等教育小学教育文科方向"</f>
        <v>初等教育小学教育文科方向</v>
      </c>
      <c r="K254" s="4" t="str">
        <f>"专科无学位"</f>
        <v>专科无学位</v>
      </c>
      <c r="L254" s="4" t="str">
        <f>"15186426484"</f>
        <v>15186426484</v>
      </c>
      <c r="M254" s="4" t="str">
        <f t="shared" si="73"/>
        <v>隆林县</v>
      </c>
      <c r="N254" s="4" t="str">
        <f>"贵州省兴仁县东湖社区"</f>
        <v>贵州省兴仁县东湖社区</v>
      </c>
      <c r="O254" s="4" t="str">
        <f>"2629467962@qq.com"</f>
        <v>2629467962@qq.com</v>
      </c>
      <c r="P254" s="4">
        <f>""</f>
      </c>
      <c r="Q254" s="4" t="str">
        <f>"2014.06.01"</f>
        <v>2014.06.01</v>
      </c>
      <c r="R254" s="4" t="str">
        <f t="shared" si="89"/>
        <v>是</v>
      </c>
      <c r="S254" s="4" t="str">
        <f>"2:小学"</f>
        <v>2:小学</v>
      </c>
      <c r="T254" s="4" t="str">
        <f>"20145290122000419"</f>
        <v>20145290122000419</v>
      </c>
      <c r="U254" s="4" t="str">
        <f>"106661201406000410"</f>
        <v>106661201406000410</v>
      </c>
      <c r="V254" s="4" t="str">
        <f t="shared" si="87"/>
        <v>小学</v>
      </c>
      <c r="W254" s="4" t="str">
        <f t="shared" si="88"/>
        <v>102:语文</v>
      </c>
      <c r="X254" s="4" t="str">
        <f t="shared" si="74"/>
        <v>通过</v>
      </c>
    </row>
    <row r="255" spans="1:24" s="1" customFormat="1" ht="71.25">
      <c r="A255" s="4" t="str">
        <f>"75"</f>
        <v>75</v>
      </c>
      <c r="B255" s="4" t="str">
        <f>"王一全"</f>
        <v>王一全</v>
      </c>
      <c r="C255" s="4" t="str">
        <f>"男        "</f>
        <v>男        </v>
      </c>
      <c r="D255" s="4" t="str">
        <f>"苗族"</f>
        <v>苗族</v>
      </c>
      <c r="E255" s="4" t="str">
        <f>"广西百色市隆林县"</f>
        <v>广西百色市隆林县</v>
      </c>
      <c r="F255" s="4" t="str">
        <f>"1996年01月"</f>
        <v>1996年01月</v>
      </c>
      <c r="G255" s="4" t="str">
        <f>"共青团员"</f>
        <v>共青团员</v>
      </c>
      <c r="H255" s="4" t="str">
        <f>"45263119960101391x"</f>
        <v>45263119960101391x</v>
      </c>
      <c r="I255" s="4" t="str">
        <f>"广西教育学院汉语专业"</f>
        <v>广西教育学院汉语专业</v>
      </c>
      <c r="J255" s="4" t="str">
        <f>"汉语专业"</f>
        <v>汉语专业</v>
      </c>
      <c r="K255" s="4" t="str">
        <f>"专科无学位"</f>
        <v>专科无学位</v>
      </c>
      <c r="L255" s="4" t="str">
        <f>"18275887230"</f>
        <v>18275887230</v>
      </c>
      <c r="M255" s="4" t="str">
        <f t="shared" si="73"/>
        <v>隆林县</v>
      </c>
      <c r="N255" s="4" t="str">
        <f>"广西百色市隆林县蛇场乡乐香村湾子屯"</f>
        <v>广西百色市隆林县蛇场乡乐香村湾子屯</v>
      </c>
      <c r="O255" s="4" t="str">
        <f>"1270294372@qq.com"</f>
        <v>1270294372@qq.com</v>
      </c>
      <c r="P255" s="4" t="str">
        <f>"2017.05.01"</f>
        <v>2017.05.01</v>
      </c>
      <c r="Q255" s="4" t="str">
        <f>"2017.06.01"</f>
        <v>2017.06.01</v>
      </c>
      <c r="R255" s="4" t="str">
        <f t="shared" si="89"/>
        <v>是</v>
      </c>
      <c r="S255" s="4" t="str">
        <f>"2:小学"</f>
        <v>2:小学</v>
      </c>
      <c r="T255" s="4" t="str">
        <f>"无"</f>
        <v>无</v>
      </c>
      <c r="U255" s="4" t="str">
        <f>"无"</f>
        <v>无</v>
      </c>
      <c r="V255" s="4" t="str">
        <f t="shared" si="87"/>
        <v>小学</v>
      </c>
      <c r="W255" s="4" t="str">
        <f t="shared" si="88"/>
        <v>102:语文</v>
      </c>
      <c r="X255" s="4" t="str">
        <f t="shared" si="74"/>
        <v>通过</v>
      </c>
    </row>
    <row r="256" spans="1:24" s="1" customFormat="1" ht="71.25">
      <c r="A256" s="4" t="str">
        <f>"76"</f>
        <v>76</v>
      </c>
      <c r="B256" s="4" t="str">
        <f>"尹茂仙"</f>
        <v>尹茂仙</v>
      </c>
      <c r="C256" s="4" t="str">
        <f>"女        "</f>
        <v>女        </v>
      </c>
      <c r="D256" s="4" t="str">
        <f>"汉族"</f>
        <v>汉族</v>
      </c>
      <c r="E256" s="4" t="str">
        <f>"广西省百色市隆林县"</f>
        <v>广西省百色市隆林县</v>
      </c>
      <c r="F256" s="4" t="str">
        <f>"1990年03月"</f>
        <v>1990年03月</v>
      </c>
      <c r="G256" s="4" t="str">
        <f>"共青团员"</f>
        <v>共青团员</v>
      </c>
      <c r="H256" s="4" t="str">
        <f>"45263119900305480X"</f>
        <v>45263119900305480X</v>
      </c>
      <c r="I256" s="4" t="str">
        <f>"广西幼儿师范高等专科学校语文教育"</f>
        <v>广西幼儿师范高等专科学校语文教育</v>
      </c>
      <c r="J256" s="4" t="str">
        <f>"语文教育"</f>
        <v>语文教育</v>
      </c>
      <c r="K256" s="4" t="str">
        <f>"专科无学位"</f>
        <v>专科无学位</v>
      </c>
      <c r="L256" s="4" t="str">
        <f>"18677614365"</f>
        <v>18677614365</v>
      </c>
      <c r="M256" s="4" t="str">
        <f t="shared" si="73"/>
        <v>隆林县</v>
      </c>
      <c r="N256" s="4" t="str">
        <f>"隆林各族自治县介廷乡马窑村尹家队62号"</f>
        <v>隆林各族自治县介廷乡马窑村尹家队62号</v>
      </c>
      <c r="O256" s="4" t="str">
        <f>"936502854@qq.com"</f>
        <v>936502854@qq.com</v>
      </c>
      <c r="P256" s="4" t="str">
        <f>"2015.03.01"</f>
        <v>2015.03.01</v>
      </c>
      <c r="Q256" s="4" t="str">
        <f>"2013.06.01"</f>
        <v>2013.06.01</v>
      </c>
      <c r="R256" s="4" t="str">
        <f t="shared" si="89"/>
        <v>是</v>
      </c>
      <c r="S256" s="4" t="str">
        <f>"2:小学"</f>
        <v>2:小学</v>
      </c>
      <c r="T256" s="4" t="str">
        <f>"20134501222000382"</f>
        <v>20134501222000382</v>
      </c>
      <c r="U256" s="4" t="str">
        <f>"142201201306000846"</f>
        <v>142201201306000846</v>
      </c>
      <c r="V256" s="4" t="str">
        <f t="shared" si="87"/>
        <v>小学</v>
      </c>
      <c r="W256" s="4" t="str">
        <f t="shared" si="88"/>
        <v>102:语文</v>
      </c>
      <c r="X256" s="4" t="str">
        <f t="shared" si="74"/>
        <v>通过</v>
      </c>
    </row>
    <row r="257" spans="1:24" s="1" customFormat="1" ht="57">
      <c r="A257" s="4" t="str">
        <f>"77"</f>
        <v>77</v>
      </c>
      <c r="B257" s="4" t="str">
        <f>"刘大美"</f>
        <v>刘大美</v>
      </c>
      <c r="C257" s="4" t="str">
        <f>"女        "</f>
        <v>女        </v>
      </c>
      <c r="D257" s="4" t="str">
        <f>"汉族"</f>
        <v>汉族</v>
      </c>
      <c r="E257" s="4" t="str">
        <f>"贵州省"</f>
        <v>贵州省</v>
      </c>
      <c r="F257" s="4" t="str">
        <f>"1991年08月"</f>
        <v>1991年08月</v>
      </c>
      <c r="G257" s="4" t="str">
        <f>"共青团员"</f>
        <v>共青团员</v>
      </c>
      <c r="H257" s="4" t="str">
        <f>"522322199108080444"</f>
        <v>522322199108080444</v>
      </c>
      <c r="I257" s="4" t="str">
        <f>"遵义师范学院汉语言文学"</f>
        <v>遵义师范学院汉语言文学</v>
      </c>
      <c r="J257" s="4" t="str">
        <f>"汉语言文学"</f>
        <v>汉语言文学</v>
      </c>
      <c r="K257" s="4" t="str">
        <f>"本科学士"</f>
        <v>本科学士</v>
      </c>
      <c r="L257" s="4" t="str">
        <f>"18385421038"</f>
        <v>18385421038</v>
      </c>
      <c r="M257" s="4" t="str">
        <f t="shared" si="73"/>
        <v>隆林县</v>
      </c>
      <c r="N257" s="4" t="str">
        <f>"贵州省兴仁县巴铃镇公德村一组29号"</f>
        <v>贵州省兴仁县巴铃镇公德村一组29号</v>
      </c>
      <c r="O257" s="4" t="str">
        <f>"1035847539@qq.com"</f>
        <v>1035847539@qq.com</v>
      </c>
      <c r="P257" s="4">
        <f>""</f>
      </c>
      <c r="Q257" s="4" t="str">
        <f>"2016.06.01"</f>
        <v>2016.06.01</v>
      </c>
      <c r="R257" s="4" t="str">
        <f t="shared" si="89"/>
        <v>是</v>
      </c>
      <c r="S257" s="4" t="str">
        <f>"4:高级中学"</f>
        <v>4:高级中学</v>
      </c>
      <c r="T257" s="4" t="str">
        <f>"20165220042001385"</f>
        <v>20165220042001385</v>
      </c>
      <c r="U257" s="4" t="str">
        <f>"106641201605001369"</f>
        <v>106641201605001369</v>
      </c>
      <c r="V257" s="4" t="str">
        <f t="shared" si="87"/>
        <v>小学</v>
      </c>
      <c r="W257" s="4" t="str">
        <f t="shared" si="88"/>
        <v>102:语文</v>
      </c>
      <c r="X257" s="4" t="str">
        <f t="shared" si="74"/>
        <v>通过</v>
      </c>
    </row>
    <row r="258" spans="1:24" s="1" customFormat="1" ht="99.75">
      <c r="A258" s="4" t="str">
        <f>"78"</f>
        <v>78</v>
      </c>
      <c r="B258" s="4" t="str">
        <f>"陆跃文"</f>
        <v>陆跃文</v>
      </c>
      <c r="C258" s="4" t="str">
        <f>"男        "</f>
        <v>男        </v>
      </c>
      <c r="D258" s="4" t="str">
        <f>"壮族"</f>
        <v>壮族</v>
      </c>
      <c r="E258" s="4" t="str">
        <f>"云南砚山"</f>
        <v>云南砚山</v>
      </c>
      <c r="F258" s="4" t="str">
        <f>"1993年08月"</f>
        <v>1993年08月</v>
      </c>
      <c r="G258" s="4" t="str">
        <f>"共青团员"</f>
        <v>共青团员</v>
      </c>
      <c r="H258" s="4" t="str">
        <f>"532622199308181133"</f>
        <v>532622199308181133</v>
      </c>
      <c r="I258" s="4" t="str">
        <f>"保山学院语文教育"</f>
        <v>保山学院语文教育</v>
      </c>
      <c r="J258" s="4" t="str">
        <f>"语文教育"</f>
        <v>语文教育</v>
      </c>
      <c r="K258" s="4" t="str">
        <f>"专科无学位"</f>
        <v>专科无学位</v>
      </c>
      <c r="L258" s="4" t="str">
        <f>"18214669834"</f>
        <v>18214669834</v>
      </c>
      <c r="M258" s="4" t="str">
        <f t="shared" si="73"/>
        <v>隆林县</v>
      </c>
      <c r="N258" s="4" t="str">
        <f>"云南省文山砚山县江那镇听湖村委会城脚村100号附1号"</f>
        <v>云南省文山砚山县江那镇听湖村委会城脚村100号附1号</v>
      </c>
      <c r="O258" s="4" t="str">
        <f>"949732810@qq.com"</f>
        <v>949732810@qq.com</v>
      </c>
      <c r="P258" s="4" t="str">
        <f>"2015.07.01"</f>
        <v>2015.07.01</v>
      </c>
      <c r="Q258" s="4" t="str">
        <f>"2015.07.01"</f>
        <v>2015.07.01</v>
      </c>
      <c r="R258" s="4" t="str">
        <f t="shared" si="89"/>
        <v>是</v>
      </c>
      <c r="S258" s="4" t="str">
        <f>"3:初级中学"</f>
        <v>3:初级中学</v>
      </c>
      <c r="T258" s="4" t="str">
        <f>"20155311131000729"</f>
        <v>20155311131000729</v>
      </c>
      <c r="U258" s="4" t="str">
        <f>"106861201506000017"</f>
        <v>106861201506000017</v>
      </c>
      <c r="V258" s="4" t="str">
        <f t="shared" si="87"/>
        <v>小学</v>
      </c>
      <c r="W258" s="4" t="str">
        <f t="shared" si="88"/>
        <v>102:语文</v>
      </c>
      <c r="X258" s="4" t="str">
        <f t="shared" si="74"/>
        <v>通过</v>
      </c>
    </row>
    <row r="259" spans="1:24" s="1" customFormat="1" ht="71.25">
      <c r="A259" s="4" t="str">
        <f>"79"</f>
        <v>79</v>
      </c>
      <c r="B259" s="4" t="str">
        <f>"姜成香"</f>
        <v>姜成香</v>
      </c>
      <c r="C259" s="4" t="str">
        <f>"女        "</f>
        <v>女        </v>
      </c>
      <c r="D259" s="4" t="str">
        <f>"苗族"</f>
        <v>苗族</v>
      </c>
      <c r="E259" s="4" t="str">
        <f>"贵州贞丰"</f>
        <v>贵州贞丰</v>
      </c>
      <c r="F259" s="4" t="str">
        <f>"1991年01月"</f>
        <v>1991年01月</v>
      </c>
      <c r="G259" s="4" t="str">
        <f>"共青团员"</f>
        <v>共青团员</v>
      </c>
      <c r="H259" s="4" t="str">
        <f>"522325199101261647"</f>
        <v>522325199101261647</v>
      </c>
      <c r="I259" s="4" t="str">
        <f>"黔南民族师范学院语文教育"</f>
        <v>黔南民族师范学院语文教育</v>
      </c>
      <c r="J259" s="4" t="str">
        <f>"语文教育"</f>
        <v>语文教育</v>
      </c>
      <c r="K259" s="4" t="str">
        <f>"专科无学位"</f>
        <v>专科无学位</v>
      </c>
      <c r="L259" s="4" t="str">
        <f>"18375042100"</f>
        <v>18375042100</v>
      </c>
      <c r="M259" s="4" t="str">
        <f aca="true" t="shared" si="90" ref="M259:M322">"隆林县"</f>
        <v>隆林县</v>
      </c>
      <c r="N259" s="4" t="str">
        <f>"贵州省贞丰县龙场镇李家庄村螺丝湾组"</f>
        <v>贵州省贞丰县龙场镇李家庄村螺丝湾组</v>
      </c>
      <c r="O259" s="4" t="str">
        <f>"761933727@qq.com"</f>
        <v>761933727@qq.com</v>
      </c>
      <c r="P259" s="4" t="str">
        <f>"2015.07.01"</f>
        <v>2015.07.01</v>
      </c>
      <c r="Q259" s="4" t="str">
        <f>"2015.07.01"</f>
        <v>2015.07.01</v>
      </c>
      <c r="R259" s="4" t="str">
        <f t="shared" si="89"/>
        <v>是</v>
      </c>
      <c r="S259" s="4" t="str">
        <f>"3:初级中学"</f>
        <v>3:初级中学</v>
      </c>
      <c r="T259" s="4" t="str">
        <f>"20155270932000224"</f>
        <v>20155270932000224</v>
      </c>
      <c r="U259" s="4" t="str">
        <f>"106701201506000251"</f>
        <v>106701201506000251</v>
      </c>
      <c r="V259" s="4" t="str">
        <f t="shared" si="87"/>
        <v>小学</v>
      </c>
      <c r="W259" s="4" t="str">
        <f t="shared" si="88"/>
        <v>102:语文</v>
      </c>
      <c r="X259" s="4" t="str">
        <f aca="true" t="shared" si="91" ref="X259:X322">"通过"</f>
        <v>通过</v>
      </c>
    </row>
    <row r="260" spans="1:24" s="1" customFormat="1" ht="71.25">
      <c r="A260" s="4" t="str">
        <f>"80"</f>
        <v>80</v>
      </c>
      <c r="B260" s="4" t="str">
        <f>"李海燕"</f>
        <v>李海燕</v>
      </c>
      <c r="C260" s="4" t="str">
        <f>"女        "</f>
        <v>女        </v>
      </c>
      <c r="D260" s="4" t="str">
        <f>"苗族"</f>
        <v>苗族</v>
      </c>
      <c r="E260" s="4" t="str">
        <f>"广西"</f>
        <v>广西</v>
      </c>
      <c r="F260" s="4" t="str">
        <f>"1994年07月"</f>
        <v>1994年07月</v>
      </c>
      <c r="G260" s="4" t="str">
        <f>"群众"</f>
        <v>群众</v>
      </c>
      <c r="H260" s="4" t="str">
        <f>"452631199407063884"</f>
        <v>452631199407063884</v>
      </c>
      <c r="I260" s="4" t="str">
        <f>"百色学院小学教育"</f>
        <v>百色学院小学教育</v>
      </c>
      <c r="J260" s="4" t="str">
        <f>"小学教育"</f>
        <v>小学教育</v>
      </c>
      <c r="K260" s="4" t="str">
        <f>"专科无学位"</f>
        <v>专科无学位</v>
      </c>
      <c r="L260" s="4" t="str">
        <f>"18777668119"</f>
        <v>18777668119</v>
      </c>
      <c r="M260" s="4" t="str">
        <f t="shared" si="90"/>
        <v>隆林县</v>
      </c>
      <c r="N260" s="4" t="str">
        <f>"隆林县蛇场乡新寨村石保屯"</f>
        <v>隆林县蛇场乡新寨村石保屯</v>
      </c>
      <c r="O260" s="4" t="str">
        <f>"1220539280@qq.com"</f>
        <v>1220539280@qq.com</v>
      </c>
      <c r="P260" s="4" t="str">
        <f>"2017.02.01"</f>
        <v>2017.02.01</v>
      </c>
      <c r="Q260" s="4" t="str">
        <f>"2017.06.01"</f>
        <v>2017.06.01</v>
      </c>
      <c r="R260" s="4" t="str">
        <f t="shared" si="89"/>
        <v>是</v>
      </c>
      <c r="S260" s="4" t="str">
        <f>"0:暂未取得"</f>
        <v>0:暂未取得</v>
      </c>
      <c r="T260" s="4" t="str">
        <f>"2017届毕业生填暂无"</f>
        <v>2017届毕业生填暂无</v>
      </c>
      <c r="U260" s="4" t="str">
        <f>"2017届毕业生填暂无"</f>
        <v>2017届毕业生填暂无</v>
      </c>
      <c r="V260" s="4" t="str">
        <f t="shared" si="87"/>
        <v>小学</v>
      </c>
      <c r="W260" s="4" t="str">
        <f t="shared" si="88"/>
        <v>102:语文</v>
      </c>
      <c r="X260" s="4" t="str">
        <f t="shared" si="91"/>
        <v>通过</v>
      </c>
    </row>
    <row r="261" spans="1:24" s="1" customFormat="1" ht="71.25">
      <c r="A261" s="4" t="str">
        <f>"81"</f>
        <v>81</v>
      </c>
      <c r="B261" s="4" t="str">
        <f>"黄文晓"</f>
        <v>黄文晓</v>
      </c>
      <c r="C261" s="4" t="str">
        <f>"女        "</f>
        <v>女        </v>
      </c>
      <c r="D261" s="4" t="str">
        <f>"壮族"</f>
        <v>壮族</v>
      </c>
      <c r="E261" s="4" t="str">
        <f>"广西百色"</f>
        <v>广西百色</v>
      </c>
      <c r="F261" s="4" t="str">
        <f>"1994年02月"</f>
        <v>1994年02月</v>
      </c>
      <c r="G261" s="4" t="str">
        <f>"共青团员"</f>
        <v>共青团员</v>
      </c>
      <c r="H261" s="4" t="str">
        <f>"452631199402242648"</f>
        <v>452631199402242648</v>
      </c>
      <c r="I261" s="4" t="str">
        <f>"广西财经学院税收学"</f>
        <v>广西财经学院税收学</v>
      </c>
      <c r="J261" s="4" t="str">
        <f>"税收学"</f>
        <v>税收学</v>
      </c>
      <c r="K261" s="4" t="str">
        <f>"本科学士"</f>
        <v>本科学士</v>
      </c>
      <c r="L261" s="4" t="str">
        <f>"15578060496"</f>
        <v>15578060496</v>
      </c>
      <c r="M261" s="4" t="str">
        <f t="shared" si="90"/>
        <v>隆林县</v>
      </c>
      <c r="N261" s="4" t="str">
        <f>"广西百色市隆林县革步乡领好村那芝社100号"</f>
        <v>广西百色市隆林县革步乡领好村那芝社100号</v>
      </c>
      <c r="O261" s="4" t="str">
        <f>"1462784113@qq.com"</f>
        <v>1462784113@qq.com</v>
      </c>
      <c r="P261" s="4">
        <f>""</f>
      </c>
      <c r="Q261" s="4" t="str">
        <f>"2017.07.01"</f>
        <v>2017.07.01</v>
      </c>
      <c r="R261" s="4" t="str">
        <f>"不是"</f>
        <v>不是</v>
      </c>
      <c r="S261" s="4" t="str">
        <f>"0:暂未取得"</f>
        <v>0:暂未取得</v>
      </c>
      <c r="T261" s="4" t="str">
        <f>"暂无"</f>
        <v>暂无</v>
      </c>
      <c r="U261" s="4" t="str">
        <f>"暂无"</f>
        <v>暂无</v>
      </c>
      <c r="V261" s="4" t="str">
        <f t="shared" si="87"/>
        <v>小学</v>
      </c>
      <c r="W261" s="4" t="str">
        <f t="shared" si="88"/>
        <v>102:语文</v>
      </c>
      <c r="X261" s="4" t="str">
        <f t="shared" si="91"/>
        <v>通过</v>
      </c>
    </row>
    <row r="262" spans="1:24" s="1" customFormat="1" ht="85.5">
      <c r="A262" s="4" t="str">
        <f>"82"</f>
        <v>82</v>
      </c>
      <c r="B262" s="4" t="str">
        <f>"李慧"</f>
        <v>李慧</v>
      </c>
      <c r="C262" s="4" t="str">
        <f>"女        "</f>
        <v>女        </v>
      </c>
      <c r="D262" s="4" t="str">
        <f>"汉族"</f>
        <v>汉族</v>
      </c>
      <c r="E262" s="4" t="str">
        <f>"广西隆林"</f>
        <v>广西隆林</v>
      </c>
      <c r="F262" s="4" t="str">
        <f>"1993年05月"</f>
        <v>1993年05月</v>
      </c>
      <c r="G262" s="4" t="str">
        <f>"共青团员"</f>
        <v>共青团员</v>
      </c>
      <c r="H262" s="4" t="str">
        <f>"452631199305151007"</f>
        <v>452631199305151007</v>
      </c>
      <c r="I262" s="4" t="str">
        <f>"广西财经学院国际经济与贸易"</f>
        <v>广西财经学院国际经济与贸易</v>
      </c>
      <c r="J262" s="4" t="str">
        <f>"国际经济与贸易"</f>
        <v>国际经济与贸易</v>
      </c>
      <c r="K262" s="4" t="str">
        <f>"本科学士"</f>
        <v>本科学士</v>
      </c>
      <c r="L262" s="4" t="str">
        <f>"18775369456"</f>
        <v>18775369456</v>
      </c>
      <c r="M262" s="4" t="str">
        <f t="shared" si="90"/>
        <v>隆林县</v>
      </c>
      <c r="N262" s="4" t="str">
        <f>"广西隆林各族自治县隆或乡滴岩村潘家湾屯035号"</f>
        <v>广西隆林各族自治县隆或乡滴岩村潘家湾屯035号</v>
      </c>
      <c r="O262" s="4" t="str">
        <f>"2624494799@qq.com"</f>
        <v>2624494799@qq.com</v>
      </c>
      <c r="P262" s="4" t="str">
        <f>"2017.04.01"</f>
        <v>2017.04.01</v>
      </c>
      <c r="Q262" s="4" t="str">
        <f>"2017.07.01"</f>
        <v>2017.07.01</v>
      </c>
      <c r="R262" s="4" t="str">
        <f>"不是"</f>
        <v>不是</v>
      </c>
      <c r="S262" s="4" t="str">
        <f>"0:暂未取得"</f>
        <v>0:暂未取得</v>
      </c>
      <c r="T262" s="4" t="str">
        <f>"2017届毕业生填暂无"</f>
        <v>2017届毕业生填暂无</v>
      </c>
      <c r="U262" s="4" t="str">
        <f>"2017届毕业生填暂无"</f>
        <v>2017届毕业生填暂无</v>
      </c>
      <c r="V262" s="4" t="str">
        <f t="shared" si="87"/>
        <v>小学</v>
      </c>
      <c r="W262" s="4" t="str">
        <f t="shared" si="88"/>
        <v>102:语文</v>
      </c>
      <c r="X262" s="4" t="str">
        <f t="shared" si="91"/>
        <v>通过</v>
      </c>
    </row>
    <row r="263" spans="1:24" s="1" customFormat="1" ht="57">
      <c r="A263" s="4" t="str">
        <f>"83"</f>
        <v>83</v>
      </c>
      <c r="B263" s="4" t="str">
        <f>"刘茂江"</f>
        <v>刘茂江</v>
      </c>
      <c r="C263" s="4" t="str">
        <f>"男        "</f>
        <v>男        </v>
      </c>
      <c r="D263" s="4" t="str">
        <f>"其他"</f>
        <v>其他</v>
      </c>
      <c r="E263" s="4" t="str">
        <f>"贵州纳雍"</f>
        <v>贵州纳雍</v>
      </c>
      <c r="F263" s="4" t="str">
        <f>"1996年01月"</f>
        <v>1996年01月</v>
      </c>
      <c r="G263" s="4" t="str">
        <f>"共青团员"</f>
        <v>共青团员</v>
      </c>
      <c r="H263" s="4" t="str">
        <f>"522426199601108018"</f>
        <v>522426199601108018</v>
      </c>
      <c r="I263" s="4" t="str">
        <f>"兴义民族师范学院小学教育"</f>
        <v>兴义民族师范学院小学教育</v>
      </c>
      <c r="J263" s="4" t="str">
        <f>"小学教育"</f>
        <v>小学教育</v>
      </c>
      <c r="K263" s="4" t="str">
        <f>"本科学士"</f>
        <v>本科学士</v>
      </c>
      <c r="L263" s="4" t="str">
        <f>"15186478206"</f>
        <v>15186478206</v>
      </c>
      <c r="M263" s="4" t="str">
        <f t="shared" si="90"/>
        <v>隆林县</v>
      </c>
      <c r="N263" s="4" t="str">
        <f>"贵州省纳雍县猪场乡猪场村芦毛地组"</f>
        <v>贵州省纳雍县猪场乡猪场村芦毛地组</v>
      </c>
      <c r="O263" s="4" t="str">
        <f>"1206442306@qq.com"</f>
        <v>1206442306@qq.com</v>
      </c>
      <c r="P263" s="4">
        <f>""</f>
      </c>
      <c r="Q263" s="4" t="str">
        <f>"2017.07.01"</f>
        <v>2017.07.01</v>
      </c>
      <c r="R263" s="4" t="str">
        <f>"是"</f>
        <v>是</v>
      </c>
      <c r="S263" s="4" t="str">
        <f aca="true" t="shared" si="92" ref="S263:S268">"2:小学"</f>
        <v>2:小学</v>
      </c>
      <c r="T263" s="4" t="str">
        <f>"20155290121001394"</f>
        <v>20155290121001394</v>
      </c>
      <c r="U263" s="4" t="str">
        <f>"106661201705000064"</f>
        <v>106661201705000064</v>
      </c>
      <c r="V263" s="4" t="str">
        <f t="shared" si="87"/>
        <v>小学</v>
      </c>
      <c r="W263" s="4" t="str">
        <f t="shared" si="88"/>
        <v>102:语文</v>
      </c>
      <c r="X263" s="4" t="str">
        <f t="shared" si="91"/>
        <v>通过</v>
      </c>
    </row>
    <row r="264" spans="1:24" s="1" customFormat="1" ht="85.5">
      <c r="A264" s="4" t="str">
        <f>"84"</f>
        <v>84</v>
      </c>
      <c r="B264" s="4" t="str">
        <f>"韦娜"</f>
        <v>韦娜</v>
      </c>
      <c r="C264" s="4" t="str">
        <f aca="true" t="shared" si="93" ref="C264:C272">"女        "</f>
        <v>女        </v>
      </c>
      <c r="D264" s="4" t="str">
        <f>"壮族"</f>
        <v>壮族</v>
      </c>
      <c r="E264" s="4" t="str">
        <f>"广西隆林"</f>
        <v>广西隆林</v>
      </c>
      <c r="F264" s="4" t="str">
        <f>"1994年10月"</f>
        <v>1994年10月</v>
      </c>
      <c r="G264" s="4" t="str">
        <f>"共青团员"</f>
        <v>共青团员</v>
      </c>
      <c r="H264" s="4" t="str">
        <f>"452631199410122646"</f>
        <v>452631199410122646</v>
      </c>
      <c r="I264" s="4" t="str">
        <f>"广西民族师范学院学前教育"</f>
        <v>广西民族师范学院学前教育</v>
      </c>
      <c r="J264" s="4" t="str">
        <f>"学前教育"</f>
        <v>学前教育</v>
      </c>
      <c r="K264" s="4" t="str">
        <f>"本科学士"</f>
        <v>本科学士</v>
      </c>
      <c r="L264" s="4" t="str">
        <f>"13152609150"</f>
        <v>13152609150</v>
      </c>
      <c r="M264" s="4" t="str">
        <f t="shared" si="90"/>
        <v>隆林县</v>
      </c>
      <c r="N264" s="4" t="str">
        <f>"广西隆林各族自治县新州镇新兴社区新兴路75号"</f>
        <v>广西隆林各族自治县新州镇新兴社区新兴路75号</v>
      </c>
      <c r="O264" s="4" t="str">
        <f>"1213123775@qq.com"</f>
        <v>1213123775@qq.com</v>
      </c>
      <c r="P264" s="4" t="str">
        <f>"2017.03.01"</f>
        <v>2017.03.01</v>
      </c>
      <c r="Q264" s="4" t="str">
        <f>"2017.06.01"</f>
        <v>2017.06.01</v>
      </c>
      <c r="R264" s="4" t="str">
        <f>"是"</f>
        <v>是</v>
      </c>
      <c r="S264" s="4" t="str">
        <f t="shared" si="92"/>
        <v>2:小学</v>
      </c>
      <c r="T264" s="4" t="str">
        <f>"暂无"</f>
        <v>暂无</v>
      </c>
      <c r="U264" s="4" t="str">
        <f>"暂无"</f>
        <v>暂无</v>
      </c>
      <c r="V264" s="4" t="str">
        <f t="shared" si="87"/>
        <v>小学</v>
      </c>
      <c r="W264" s="4" t="str">
        <f t="shared" si="88"/>
        <v>102:语文</v>
      </c>
      <c r="X264" s="4" t="str">
        <f t="shared" si="91"/>
        <v>通过</v>
      </c>
    </row>
    <row r="265" spans="1:24" s="1" customFormat="1" ht="71.25">
      <c r="A265" s="4" t="str">
        <f>"85"</f>
        <v>85</v>
      </c>
      <c r="B265" s="4" t="str">
        <f>"李成结"</f>
        <v>李成结</v>
      </c>
      <c r="C265" s="4" t="str">
        <f t="shared" si="93"/>
        <v>女        </v>
      </c>
      <c r="D265" s="4" t="str">
        <f>"汉族"</f>
        <v>汉族</v>
      </c>
      <c r="E265" s="4" t="str">
        <f>"广西隆林各族自治县"</f>
        <v>广西隆林各族自治县</v>
      </c>
      <c r="F265" s="4" t="str">
        <f>"1995年08月"</f>
        <v>1995年08月</v>
      </c>
      <c r="G265" s="4" t="str">
        <f>"共青团员"</f>
        <v>共青团员</v>
      </c>
      <c r="H265" s="4" t="str">
        <f>"452631199508142629"</f>
        <v>452631199508142629</v>
      </c>
      <c r="I265" s="4" t="str">
        <f>"广西幼儿师范高等专科学校学前教育"</f>
        <v>广西幼儿师范高等专科学校学前教育</v>
      </c>
      <c r="J265" s="4" t="str">
        <f>"学前教育"</f>
        <v>学前教育</v>
      </c>
      <c r="K265" s="4" t="str">
        <f>"专科无学位"</f>
        <v>专科无学位</v>
      </c>
      <c r="L265" s="4" t="str">
        <f>"15177044392"</f>
        <v>15177044392</v>
      </c>
      <c r="M265" s="4" t="str">
        <f t="shared" si="90"/>
        <v>隆林县</v>
      </c>
      <c r="N265" s="4" t="str">
        <f>"广西百色市隆林县革步乡马用村上弄华社16号"</f>
        <v>广西百色市隆林县革步乡马用村上弄华社16号</v>
      </c>
      <c r="O265" s="4" t="str">
        <f>"1782426737@qq.com"</f>
        <v>1782426737@qq.com</v>
      </c>
      <c r="P265" s="4" t="str">
        <f>"2016.09.01"</f>
        <v>2016.09.01</v>
      </c>
      <c r="Q265" s="4" t="str">
        <f>"2017.06.01"</f>
        <v>2017.06.01</v>
      </c>
      <c r="R265" s="4" t="str">
        <f>"是"</f>
        <v>是</v>
      </c>
      <c r="S265" s="4" t="str">
        <f t="shared" si="92"/>
        <v>2:小学</v>
      </c>
      <c r="T265" s="4" t="str">
        <f>"暂无"</f>
        <v>暂无</v>
      </c>
      <c r="U265" s="4" t="str">
        <f>"暂无"</f>
        <v>暂无</v>
      </c>
      <c r="V265" s="4" t="str">
        <f t="shared" si="87"/>
        <v>小学</v>
      </c>
      <c r="W265" s="4" t="str">
        <f t="shared" si="88"/>
        <v>102:语文</v>
      </c>
      <c r="X265" s="4" t="str">
        <f t="shared" si="91"/>
        <v>通过</v>
      </c>
    </row>
    <row r="266" spans="1:24" s="1" customFormat="1" ht="57">
      <c r="A266" s="4" t="str">
        <f>"86"</f>
        <v>86</v>
      </c>
      <c r="B266" s="4" t="str">
        <f>"吴春燕"</f>
        <v>吴春燕</v>
      </c>
      <c r="C266" s="4" t="str">
        <f t="shared" si="93"/>
        <v>女        </v>
      </c>
      <c r="D266" s="4" t="str">
        <f>"苗族"</f>
        <v>苗族</v>
      </c>
      <c r="E266" s="4" t="str">
        <f>"西林"</f>
        <v>西林</v>
      </c>
      <c r="F266" s="4" t="str">
        <f>"1988年08月"</f>
        <v>1988年08月</v>
      </c>
      <c r="G266" s="4" t="str">
        <f>"群众"</f>
        <v>群众</v>
      </c>
      <c r="H266" s="4" t="str">
        <f>"452632198808111623"</f>
        <v>452632198808111623</v>
      </c>
      <c r="I266" s="4" t="str">
        <f>"中央广播电视大学小学教育"</f>
        <v>中央广播电视大学小学教育</v>
      </c>
      <c r="J266" s="4" t="str">
        <f>"小学教育"</f>
        <v>小学教育</v>
      </c>
      <c r="K266" s="4" t="str">
        <f>"专科无学位"</f>
        <v>专科无学位</v>
      </c>
      <c r="L266" s="4" t="str">
        <f>"18078648224"</f>
        <v>18078648224</v>
      </c>
      <c r="M266" s="4" t="str">
        <f t="shared" si="90"/>
        <v>隆林县</v>
      </c>
      <c r="N266" s="4" t="str">
        <f>"广西百色市隆林县城西农村商业银行"</f>
        <v>广西百色市隆林县城西农村商业银行</v>
      </c>
      <c r="O266" s="4" t="str">
        <f>"1146728534@qq.com"</f>
        <v>1146728534@qq.com</v>
      </c>
      <c r="P266" s="4" t="str">
        <f>"2013.09.01"</f>
        <v>2013.09.01</v>
      </c>
      <c r="Q266" s="4" t="str">
        <f>"2013.07.01"</f>
        <v>2013.07.01</v>
      </c>
      <c r="R266" s="4" t="str">
        <f>"是"</f>
        <v>是</v>
      </c>
      <c r="S266" s="4" t="str">
        <f t="shared" si="92"/>
        <v>2:小学</v>
      </c>
      <c r="T266" s="4" t="str">
        <f>"2017452016008"</f>
        <v>2017452016008</v>
      </c>
      <c r="U266" s="4" t="str">
        <f>"511615201306544907"</f>
        <v>511615201306544907</v>
      </c>
      <c r="V266" s="4" t="str">
        <f t="shared" si="87"/>
        <v>小学</v>
      </c>
      <c r="W266" s="4" t="str">
        <f t="shared" si="88"/>
        <v>102:语文</v>
      </c>
      <c r="X266" s="4" t="str">
        <f t="shared" si="91"/>
        <v>通过</v>
      </c>
    </row>
    <row r="267" spans="1:24" s="1" customFormat="1" ht="57">
      <c r="A267" s="4" t="str">
        <f>"87"</f>
        <v>87</v>
      </c>
      <c r="B267" s="4" t="str">
        <f>"夏梦"</f>
        <v>夏梦</v>
      </c>
      <c r="C267" s="4" t="str">
        <f t="shared" si="93"/>
        <v>女        </v>
      </c>
      <c r="D267" s="4" t="str">
        <f>"汉族"</f>
        <v>汉族</v>
      </c>
      <c r="E267" s="4" t="str">
        <f>"云南昆明"</f>
        <v>云南昆明</v>
      </c>
      <c r="F267" s="4" t="str">
        <f>"1994年01月"</f>
        <v>1994年01月</v>
      </c>
      <c r="G267" s="4" t="str">
        <f>"共青团员"</f>
        <v>共青团员</v>
      </c>
      <c r="H267" s="4" t="str">
        <f>"530111199401032046"</f>
        <v>530111199401032046</v>
      </c>
      <c r="I267" s="4" t="str">
        <f>"云南大学滇池学院汉语言文学"</f>
        <v>云南大学滇池学院汉语言文学</v>
      </c>
      <c r="J267" s="4" t="str">
        <f>"汉语言文学"</f>
        <v>汉语言文学</v>
      </c>
      <c r="K267" s="4" t="str">
        <f>"本科学士"</f>
        <v>本科学士</v>
      </c>
      <c r="L267" s="4" t="str">
        <f>"13759468032"</f>
        <v>13759468032</v>
      </c>
      <c r="M267" s="4" t="str">
        <f t="shared" si="90"/>
        <v>隆林县</v>
      </c>
      <c r="N267" s="4" t="str">
        <f>"云南省昆明市盘龙区"</f>
        <v>云南省昆明市盘龙区</v>
      </c>
      <c r="O267" s="4" t="str">
        <f>"1968138948@qq.com"</f>
        <v>1968138948@qq.com</v>
      </c>
      <c r="P267" s="4">
        <f>""</f>
      </c>
      <c r="Q267" s="4" t="str">
        <f>"2017.07.01"</f>
        <v>2017.07.01</v>
      </c>
      <c r="R267" s="4" t="str">
        <f>"是"</f>
        <v>是</v>
      </c>
      <c r="S267" s="4" t="str">
        <f t="shared" si="92"/>
        <v>2:小学</v>
      </c>
      <c r="T267" s="4" t="str">
        <f>"20155311822000428"</f>
        <v>20155311822000428</v>
      </c>
      <c r="U267" s="4" t="str">
        <f>"133261201705001516"</f>
        <v>133261201705001516</v>
      </c>
      <c r="V267" s="4" t="str">
        <f t="shared" si="87"/>
        <v>小学</v>
      </c>
      <c r="W267" s="4" t="str">
        <f t="shared" si="88"/>
        <v>102:语文</v>
      </c>
      <c r="X267" s="4" t="str">
        <f t="shared" si="91"/>
        <v>通过</v>
      </c>
    </row>
    <row r="268" spans="1:24" s="1" customFormat="1" ht="71.25">
      <c r="A268" s="4" t="str">
        <f>"88"</f>
        <v>88</v>
      </c>
      <c r="B268" s="4" t="str">
        <f>"周萍"</f>
        <v>周萍</v>
      </c>
      <c r="C268" s="4" t="str">
        <f t="shared" si="93"/>
        <v>女        </v>
      </c>
      <c r="D268" s="4" t="str">
        <f>"汉族"</f>
        <v>汉族</v>
      </c>
      <c r="E268" s="4" t="str">
        <f>"广西省博白县"</f>
        <v>广西省博白县</v>
      </c>
      <c r="F268" s="4" t="str">
        <f>"1995年09月"</f>
        <v>1995年09月</v>
      </c>
      <c r="G268" s="4" t="str">
        <f>"共青团员"</f>
        <v>共青团员</v>
      </c>
      <c r="H268" s="4" t="str">
        <f>"450923199509168526"</f>
        <v>450923199509168526</v>
      </c>
      <c r="I268" s="4" t="str">
        <f>"广西科技师范学院汉语"</f>
        <v>广西科技师范学院汉语</v>
      </c>
      <c r="J268" s="4" t="str">
        <f>"汉语"</f>
        <v>汉语</v>
      </c>
      <c r="K268" s="4" t="str">
        <f>"专科无学位"</f>
        <v>专科无学位</v>
      </c>
      <c r="L268" s="4" t="str">
        <f>"18878281337"</f>
        <v>18878281337</v>
      </c>
      <c r="M268" s="4" t="str">
        <f t="shared" si="90"/>
        <v>隆林县</v>
      </c>
      <c r="N268" s="4" t="str">
        <f>"柳州市柳江区基隆开发区兴隆大道46号"</f>
        <v>柳州市柳江区基隆开发区兴隆大道46号</v>
      </c>
      <c r="O268" s="4" t="str">
        <f>"1640681818@qq.com"</f>
        <v>1640681818@qq.com</v>
      </c>
      <c r="P268" s="4" t="str">
        <f>"2016.09.01"</f>
        <v>2016.09.01</v>
      </c>
      <c r="Q268" s="4" t="str">
        <f>"2017.07.01"</f>
        <v>2017.07.01</v>
      </c>
      <c r="R268" s="4" t="str">
        <f>"不是"</f>
        <v>不是</v>
      </c>
      <c r="S268" s="4" t="str">
        <f t="shared" si="92"/>
        <v>2:小学</v>
      </c>
      <c r="T268" s="4" t="str">
        <f>"暂无"</f>
        <v>暂无</v>
      </c>
      <c r="U268" s="4" t="str">
        <f>"暂无"</f>
        <v>暂无</v>
      </c>
      <c r="V268" s="4" t="str">
        <f t="shared" si="87"/>
        <v>小学</v>
      </c>
      <c r="W268" s="4" t="str">
        <f t="shared" si="88"/>
        <v>102:语文</v>
      </c>
      <c r="X268" s="4" t="str">
        <f t="shared" si="91"/>
        <v>通过</v>
      </c>
    </row>
    <row r="269" spans="1:24" s="1" customFormat="1" ht="85.5">
      <c r="A269" s="4" t="str">
        <f>"89"</f>
        <v>89</v>
      </c>
      <c r="B269" s="4" t="str">
        <f>"王艳"</f>
        <v>王艳</v>
      </c>
      <c r="C269" s="4" t="str">
        <f t="shared" si="93"/>
        <v>女        </v>
      </c>
      <c r="D269" s="4" t="str">
        <f>"汉族"</f>
        <v>汉族</v>
      </c>
      <c r="E269" s="4" t="str">
        <f>"云南玉溪"</f>
        <v>云南玉溪</v>
      </c>
      <c r="F269" s="4" t="str">
        <f>"1994年06月"</f>
        <v>1994年06月</v>
      </c>
      <c r="G269" s="4" t="str">
        <f>"共青团员"</f>
        <v>共青团员</v>
      </c>
      <c r="H269" s="4" t="str">
        <f>"530424199406051420"</f>
        <v>530424199406051420</v>
      </c>
      <c r="I269" s="4" t="str">
        <f>"普洱学院思想政治教育"</f>
        <v>普洱学院思想政治教育</v>
      </c>
      <c r="J269" s="4" t="str">
        <f>"思想政治教育"</f>
        <v>思想政治教育</v>
      </c>
      <c r="K269" s="4" t="str">
        <f>"专科无学位"</f>
        <v>专科无学位</v>
      </c>
      <c r="L269" s="4" t="str">
        <f>"18214035433"</f>
        <v>18214035433</v>
      </c>
      <c r="M269" s="4" t="str">
        <f t="shared" si="90"/>
        <v>隆林县</v>
      </c>
      <c r="N269" s="4" t="str">
        <f>"云南省玉溪市华宁县宁州街道办事处新城村委会龙亩村"</f>
        <v>云南省玉溪市华宁县宁州街道办事处新城村委会龙亩村</v>
      </c>
      <c r="O269" s="4" t="str">
        <f>"1596715486@qq.com"</f>
        <v>1596715486@qq.com</v>
      </c>
      <c r="P269" s="4" t="str">
        <f>"2016.08.01"</f>
        <v>2016.08.01</v>
      </c>
      <c r="Q269" s="4" t="str">
        <f>"2016.07.01"</f>
        <v>2016.07.01</v>
      </c>
      <c r="R269" s="4" t="str">
        <f>"是"</f>
        <v>是</v>
      </c>
      <c r="S269" s="4" t="str">
        <f>"3:初级中学"</f>
        <v>3:初级中学</v>
      </c>
      <c r="T269" s="4" t="str">
        <f>"20165308332000006"</f>
        <v>20165308332000006</v>
      </c>
      <c r="U269" s="4" t="str">
        <f>"106851201606001519"</f>
        <v>106851201606001519</v>
      </c>
      <c r="V269" s="4" t="str">
        <f t="shared" si="87"/>
        <v>小学</v>
      </c>
      <c r="W269" s="4" t="str">
        <f t="shared" si="88"/>
        <v>102:语文</v>
      </c>
      <c r="X269" s="4" t="str">
        <f t="shared" si="91"/>
        <v>通过</v>
      </c>
    </row>
    <row r="270" spans="1:24" s="1" customFormat="1" ht="85.5">
      <c r="A270" s="4" t="str">
        <f>"90"</f>
        <v>90</v>
      </c>
      <c r="B270" s="4" t="str">
        <f>"张小琼"</f>
        <v>张小琼</v>
      </c>
      <c r="C270" s="4" t="str">
        <f t="shared" si="93"/>
        <v>女        </v>
      </c>
      <c r="D270" s="4" t="str">
        <f>"彝族"</f>
        <v>彝族</v>
      </c>
      <c r="E270" s="4" t="str">
        <f>"云南陆良"</f>
        <v>云南陆良</v>
      </c>
      <c r="F270" s="4" t="str">
        <f>"1992年02月"</f>
        <v>1992年02月</v>
      </c>
      <c r="G270" s="4" t="str">
        <f>"中共党员"</f>
        <v>中共党员</v>
      </c>
      <c r="H270" s="4" t="str">
        <f>"530322199202082649"</f>
        <v>530322199202082649</v>
      </c>
      <c r="I270" s="4" t="str">
        <f>"普洱学院语文教育"</f>
        <v>普洱学院语文教育</v>
      </c>
      <c r="J270" s="4" t="str">
        <f>"语文教育"</f>
        <v>语文教育</v>
      </c>
      <c r="K270" s="4" t="str">
        <f>"专科无学位"</f>
        <v>专科无学位</v>
      </c>
      <c r="L270" s="4" t="str">
        <f>"18087402751"</f>
        <v>18087402751</v>
      </c>
      <c r="M270" s="4" t="str">
        <f t="shared" si="90"/>
        <v>隆林县</v>
      </c>
      <c r="N270" s="4" t="str">
        <f>"云南省曲靖市陆良县小百户镇普乐村委会打鼓村22号"</f>
        <v>云南省曲靖市陆良县小百户镇普乐村委会打鼓村22号</v>
      </c>
      <c r="O270" s="4" t="str">
        <f>"zqx373254173@126.com"</f>
        <v>zqx373254173@126.com</v>
      </c>
      <c r="P270" s="4" t="str">
        <f>"2014.07.01"</f>
        <v>2014.07.01</v>
      </c>
      <c r="Q270" s="4" t="str">
        <f>"2014.07.01"</f>
        <v>2014.07.01</v>
      </c>
      <c r="R270" s="4" t="str">
        <f>"是"</f>
        <v>是</v>
      </c>
      <c r="S270" s="4" t="str">
        <f>"3:初级中学"</f>
        <v>3:初级中学</v>
      </c>
      <c r="T270" s="4" t="str">
        <f>"20145308332000818"</f>
        <v>20145308332000818</v>
      </c>
      <c r="U270" s="4" t="str">
        <f>"106851201406000642"</f>
        <v>106851201406000642</v>
      </c>
      <c r="V270" s="4" t="str">
        <f t="shared" si="87"/>
        <v>小学</v>
      </c>
      <c r="W270" s="4" t="str">
        <f t="shared" si="88"/>
        <v>102:语文</v>
      </c>
      <c r="X270" s="4" t="str">
        <f t="shared" si="91"/>
        <v>通过</v>
      </c>
    </row>
    <row r="271" spans="1:24" s="1" customFormat="1" ht="57">
      <c r="A271" s="4" t="str">
        <f>"91"</f>
        <v>91</v>
      </c>
      <c r="B271" s="4" t="str">
        <f>"乐仁美"</f>
        <v>乐仁美</v>
      </c>
      <c r="C271" s="4" t="str">
        <f t="shared" si="93"/>
        <v>女        </v>
      </c>
      <c r="D271" s="4" t="str">
        <f>"壮族"</f>
        <v>壮族</v>
      </c>
      <c r="E271" s="4" t="str">
        <f>"云南文山"</f>
        <v>云南文山</v>
      </c>
      <c r="F271" s="4" t="str">
        <f>"1993年04月"</f>
        <v>1993年04月</v>
      </c>
      <c r="G271" s="4" t="str">
        <f>"群众"</f>
        <v>群众</v>
      </c>
      <c r="H271" s="4" t="str">
        <f>"532627199304121549"</f>
        <v>532627199304121549</v>
      </c>
      <c r="I271" s="4" t="str">
        <f>"文山学院应用越南语"</f>
        <v>文山学院应用越南语</v>
      </c>
      <c r="J271" s="4" t="str">
        <f>"应用越南语"</f>
        <v>应用越南语</v>
      </c>
      <c r="K271" s="4" t="str">
        <f>"专科无学位"</f>
        <v>专科无学位</v>
      </c>
      <c r="L271" s="4" t="str">
        <f>"15126752378"</f>
        <v>15126752378</v>
      </c>
      <c r="M271" s="4" t="str">
        <f t="shared" si="90"/>
        <v>隆林县</v>
      </c>
      <c r="N271" s="4" t="str">
        <f>"云南省文山州广南县八宝镇天歪村"</f>
        <v>云南省文山州广南县八宝镇天歪村</v>
      </c>
      <c r="O271" s="4" t="str">
        <f>"740324534@qq.com"</f>
        <v>740324534@qq.com</v>
      </c>
      <c r="P271" s="4" t="str">
        <f>"2015.09.01"</f>
        <v>2015.09.01</v>
      </c>
      <c r="Q271" s="4" t="str">
        <f>"2015.07.01"</f>
        <v>2015.07.01</v>
      </c>
      <c r="R271" s="4" t="str">
        <f>"是"</f>
        <v>是</v>
      </c>
      <c r="S271" s="4" t="str">
        <f>"2:小学"</f>
        <v>2:小学</v>
      </c>
      <c r="T271" s="4" t="str">
        <f>"20155307422000693"</f>
        <v>20155307422000693</v>
      </c>
      <c r="U271" s="4" t="str">
        <f>"115561201506000226"</f>
        <v>115561201506000226</v>
      </c>
      <c r="V271" s="4" t="str">
        <f t="shared" si="87"/>
        <v>小学</v>
      </c>
      <c r="W271" s="4" t="str">
        <f t="shared" si="88"/>
        <v>102:语文</v>
      </c>
      <c r="X271" s="4" t="str">
        <f t="shared" si="91"/>
        <v>通过</v>
      </c>
    </row>
    <row r="272" spans="1:24" s="1" customFormat="1" ht="57">
      <c r="A272" s="4" t="str">
        <f>"92"</f>
        <v>92</v>
      </c>
      <c r="B272" s="4" t="str">
        <f>"何小雅"</f>
        <v>何小雅</v>
      </c>
      <c r="C272" s="4" t="str">
        <f t="shared" si="93"/>
        <v>女        </v>
      </c>
      <c r="D272" s="4" t="str">
        <f>"壮族"</f>
        <v>壮族</v>
      </c>
      <c r="E272" s="4" t="str">
        <f>"隆林县"</f>
        <v>隆林县</v>
      </c>
      <c r="F272" s="4" t="str">
        <f>"1992年02月"</f>
        <v>1992年02月</v>
      </c>
      <c r="G272" s="4" t="str">
        <f>"群众"</f>
        <v>群众</v>
      </c>
      <c r="H272" s="4" t="str">
        <f>"452631199202010041"</f>
        <v>452631199202010041</v>
      </c>
      <c r="I272" s="4" t="str">
        <f>"百色学院综合文科教育"</f>
        <v>百色学院综合文科教育</v>
      </c>
      <c r="J272" s="4" t="str">
        <f>"综合文科教育"</f>
        <v>综合文科教育</v>
      </c>
      <c r="K272" s="4" t="str">
        <f>"专科无学位"</f>
        <v>专科无学位</v>
      </c>
      <c r="L272" s="4" t="str">
        <f>"15296243621"</f>
        <v>15296243621</v>
      </c>
      <c r="M272" s="4" t="str">
        <f t="shared" si="90"/>
        <v>隆林县</v>
      </c>
      <c r="N272" s="4" t="str">
        <f>"广西隆林县民族路831号"</f>
        <v>广西隆林县民族路831号</v>
      </c>
      <c r="O272" s="4" t="str">
        <f>"4164175416@qq.com"</f>
        <v>4164175416@qq.com</v>
      </c>
      <c r="P272" s="4" t="str">
        <f>"2013.09.01"</f>
        <v>2013.09.01</v>
      </c>
      <c r="Q272" s="4" t="str">
        <f>"2013.06.01"</f>
        <v>2013.06.01</v>
      </c>
      <c r="R272" s="4" t="str">
        <f>"是"</f>
        <v>是</v>
      </c>
      <c r="S272" s="4" t="str">
        <f>"3:初级中学"</f>
        <v>3:初级中学</v>
      </c>
      <c r="T272" s="4" t="str">
        <f>"20134580032000085"</f>
        <v>20134580032000085</v>
      </c>
      <c r="U272" s="4" t="str">
        <f>"106091201306000510"</f>
        <v>106091201306000510</v>
      </c>
      <c r="V272" s="4" t="str">
        <f t="shared" si="87"/>
        <v>小学</v>
      </c>
      <c r="W272" s="4" t="str">
        <f t="shared" si="88"/>
        <v>102:语文</v>
      </c>
      <c r="X272" s="4" t="str">
        <f t="shared" si="91"/>
        <v>通过</v>
      </c>
    </row>
    <row r="273" spans="1:24" s="1" customFormat="1" ht="57">
      <c r="A273" s="4" t="str">
        <f>"93"</f>
        <v>93</v>
      </c>
      <c r="B273" s="4" t="str">
        <f>"魏永能"</f>
        <v>魏永能</v>
      </c>
      <c r="C273" s="4" t="str">
        <f>"男        "</f>
        <v>男        </v>
      </c>
      <c r="D273" s="4" t="str">
        <f>"汉族"</f>
        <v>汉族</v>
      </c>
      <c r="E273" s="4" t="str">
        <f>"云南文山丘北"</f>
        <v>云南文山丘北</v>
      </c>
      <c r="F273" s="4" t="str">
        <f>"1990年11月"</f>
        <v>1990年11月</v>
      </c>
      <c r="G273" s="4" t="str">
        <f aca="true" t="shared" si="94" ref="G273:G278">"共青团员"</f>
        <v>共青团员</v>
      </c>
      <c r="H273" s="4" t="str">
        <f>"532626199011072732"</f>
        <v>532626199011072732</v>
      </c>
      <c r="I273" s="4" t="str">
        <f>"红河学院汉语言文学"</f>
        <v>红河学院汉语言文学</v>
      </c>
      <c r="J273" s="4" t="str">
        <f>"汉语言文学"</f>
        <v>汉语言文学</v>
      </c>
      <c r="K273" s="4" t="str">
        <f>"本科学士"</f>
        <v>本科学士</v>
      </c>
      <c r="L273" s="4" t="str">
        <f>"18708731476"</f>
        <v>18708731476</v>
      </c>
      <c r="M273" s="4" t="str">
        <f t="shared" si="90"/>
        <v>隆林县</v>
      </c>
      <c r="N273" s="4" t="str">
        <f>"云南省文山州丘北县温浏乡蒿塘村"</f>
        <v>云南省文山州丘北县温浏乡蒿塘村</v>
      </c>
      <c r="O273" s="4" t="str">
        <f>"970873538@qq.com"</f>
        <v>970873538@qq.com</v>
      </c>
      <c r="P273" s="4">
        <f>""</f>
      </c>
      <c r="Q273" s="4" t="str">
        <f>"2015.07.01"</f>
        <v>2015.07.01</v>
      </c>
      <c r="R273" s="4" t="str">
        <f>"不是"</f>
        <v>不是</v>
      </c>
      <c r="S273" s="4" t="str">
        <f>"4:高级中学"</f>
        <v>4:高级中学</v>
      </c>
      <c r="T273" s="4" t="str">
        <f>"20155305941000459"</f>
        <v>20155305941000459</v>
      </c>
      <c r="U273" s="4" t="str">
        <f>"106871201505002015"</f>
        <v>106871201505002015</v>
      </c>
      <c r="V273" s="4" t="str">
        <f t="shared" si="87"/>
        <v>小学</v>
      </c>
      <c r="W273" s="4" t="str">
        <f t="shared" si="88"/>
        <v>102:语文</v>
      </c>
      <c r="X273" s="4" t="str">
        <f t="shared" si="91"/>
        <v>通过</v>
      </c>
    </row>
    <row r="274" spans="1:24" s="1" customFormat="1" ht="42.75">
      <c r="A274" s="4" t="str">
        <f>"94"</f>
        <v>94</v>
      </c>
      <c r="B274" s="4" t="str">
        <f>"罗玉晶"</f>
        <v>罗玉晶</v>
      </c>
      <c r="C274" s="4" t="str">
        <f aca="true" t="shared" si="95" ref="C274:C285">"女        "</f>
        <v>女        </v>
      </c>
      <c r="D274" s="4" t="str">
        <f>"壮族"</f>
        <v>壮族</v>
      </c>
      <c r="E274" s="4" t="str">
        <f>"广西"</f>
        <v>广西</v>
      </c>
      <c r="F274" s="4" t="str">
        <f>"1996年04月"</f>
        <v>1996年04月</v>
      </c>
      <c r="G274" s="4" t="str">
        <f t="shared" si="94"/>
        <v>共青团员</v>
      </c>
      <c r="H274" s="4" t="str">
        <f>"452631199604110045"</f>
        <v>452631199604110045</v>
      </c>
      <c r="I274" s="4" t="str">
        <f>"百色学院汉语"</f>
        <v>百色学院汉语</v>
      </c>
      <c r="J274" s="4" t="str">
        <f>"汉语"</f>
        <v>汉语</v>
      </c>
      <c r="K274" s="4" t="str">
        <f>"专科无学位"</f>
        <v>专科无学位</v>
      </c>
      <c r="L274" s="4" t="str">
        <f>"18278672882"</f>
        <v>18278672882</v>
      </c>
      <c r="M274" s="4" t="str">
        <f t="shared" si="90"/>
        <v>隆林县</v>
      </c>
      <c r="N274" s="4" t="str">
        <f>"广西省百色市隆林县"</f>
        <v>广西省百色市隆林县</v>
      </c>
      <c r="O274" s="4" t="str">
        <f>"907538847@qq.com"</f>
        <v>907538847@qq.com</v>
      </c>
      <c r="P274" s="4" t="str">
        <f>"2017.02.01"</f>
        <v>2017.02.01</v>
      </c>
      <c r="Q274" s="4" t="str">
        <f>"2017.06.01"</f>
        <v>2017.06.01</v>
      </c>
      <c r="R274" s="4" t="str">
        <f aca="true" t="shared" si="96" ref="R274:R279">"是"</f>
        <v>是</v>
      </c>
      <c r="S274" s="4" t="str">
        <f>"2:小学"</f>
        <v>2:小学</v>
      </c>
      <c r="T274" s="4" t="str">
        <f>"暂无"</f>
        <v>暂无</v>
      </c>
      <c r="U274" s="4" t="str">
        <f>"暂无"</f>
        <v>暂无</v>
      </c>
      <c r="V274" s="4" t="str">
        <f t="shared" si="87"/>
        <v>小学</v>
      </c>
      <c r="W274" s="4" t="str">
        <f t="shared" si="88"/>
        <v>102:语文</v>
      </c>
      <c r="X274" s="4" t="str">
        <f t="shared" si="91"/>
        <v>通过</v>
      </c>
    </row>
    <row r="275" spans="1:24" s="1" customFormat="1" ht="71.25">
      <c r="A275" s="4" t="str">
        <f>"95"</f>
        <v>95</v>
      </c>
      <c r="B275" s="4" t="str">
        <f>"滕仕艳"</f>
        <v>滕仕艳</v>
      </c>
      <c r="C275" s="4" t="str">
        <f t="shared" si="95"/>
        <v>女        </v>
      </c>
      <c r="D275" s="4" t="str">
        <f>"布依族"</f>
        <v>布依族</v>
      </c>
      <c r="E275" s="4" t="str">
        <f>"贵州省望谟县"</f>
        <v>贵州省望谟县</v>
      </c>
      <c r="F275" s="4" t="str">
        <f>"1995年12月"</f>
        <v>1995年12月</v>
      </c>
      <c r="G275" s="4" t="str">
        <f t="shared" si="94"/>
        <v>共青团员</v>
      </c>
      <c r="H275" s="4" t="str">
        <f>"52232619951202102X"</f>
        <v>52232619951202102X</v>
      </c>
      <c r="I275" s="4" t="str">
        <f>"黔南民族幼儿师范高等专科学校语文教育"</f>
        <v>黔南民族幼儿师范高等专科学校语文教育</v>
      </c>
      <c r="J275" s="4" t="str">
        <f>"语文教育"</f>
        <v>语文教育</v>
      </c>
      <c r="K275" s="4" t="str">
        <f>"专科无学位"</f>
        <v>专科无学位</v>
      </c>
      <c r="L275" s="4" t="str">
        <f>"18786355117"</f>
        <v>18786355117</v>
      </c>
      <c r="M275" s="4" t="str">
        <f t="shared" si="90"/>
        <v>隆林县</v>
      </c>
      <c r="N275" s="4" t="str">
        <f>"贵州省望谟县乐旺镇坡头村大坪组"</f>
        <v>贵州省望谟县乐旺镇坡头村大坪组</v>
      </c>
      <c r="O275" s="4" t="str">
        <f>"1073642921@qq.com"</f>
        <v>1073642921@qq.com</v>
      </c>
      <c r="P275" s="4">
        <f>""</f>
      </c>
      <c r="Q275" s="4" t="str">
        <f>"2017.07.01"</f>
        <v>2017.07.01</v>
      </c>
      <c r="R275" s="4" t="str">
        <f t="shared" si="96"/>
        <v>是</v>
      </c>
      <c r="S275" s="4" t="str">
        <f>"2:小学"</f>
        <v>2:小学</v>
      </c>
      <c r="T275" s="4" t="str">
        <f>"无"</f>
        <v>无</v>
      </c>
      <c r="U275" s="4" t="str">
        <f>"无"</f>
        <v>无</v>
      </c>
      <c r="V275" s="4" t="str">
        <f t="shared" si="87"/>
        <v>小学</v>
      </c>
      <c r="W275" s="4" t="str">
        <f t="shared" si="88"/>
        <v>102:语文</v>
      </c>
      <c r="X275" s="4" t="str">
        <f t="shared" si="91"/>
        <v>通过</v>
      </c>
    </row>
    <row r="276" spans="1:24" s="1" customFormat="1" ht="57">
      <c r="A276" s="4" t="str">
        <f>"96"</f>
        <v>96</v>
      </c>
      <c r="B276" s="4" t="str">
        <f>"严丽"</f>
        <v>严丽</v>
      </c>
      <c r="C276" s="4" t="str">
        <f t="shared" si="95"/>
        <v>女        </v>
      </c>
      <c r="D276" s="4" t="str">
        <f>"汉族"</f>
        <v>汉族</v>
      </c>
      <c r="E276" s="4" t="str">
        <f>"贵州省"</f>
        <v>贵州省</v>
      </c>
      <c r="F276" s="4" t="str">
        <f>"1997年10月"</f>
        <v>1997年10月</v>
      </c>
      <c r="G276" s="4" t="str">
        <f t="shared" si="94"/>
        <v>共青团员</v>
      </c>
      <c r="H276" s="4" t="str">
        <f>"52232619971012162X"</f>
        <v>52232619971012162X</v>
      </c>
      <c r="I276" s="4" t="str">
        <f>"铜仁幼儿师范高等专科学校初等教育"</f>
        <v>铜仁幼儿师范高等专科学校初等教育</v>
      </c>
      <c r="J276" s="4" t="str">
        <f>"初等教育"</f>
        <v>初等教育</v>
      </c>
      <c r="K276" s="4" t="str">
        <f>"本科无学位"</f>
        <v>本科无学位</v>
      </c>
      <c r="L276" s="4" t="str">
        <f>"13885929246"</f>
        <v>13885929246</v>
      </c>
      <c r="M276" s="4" t="str">
        <f t="shared" si="90"/>
        <v>隆林县</v>
      </c>
      <c r="N276" s="4" t="str">
        <f>"贵州省望谟县新屯镇交角村上交角组"</f>
        <v>贵州省望谟县新屯镇交角村上交角组</v>
      </c>
      <c r="O276" s="4" t="str">
        <f>"1145642522@qq.com"</f>
        <v>1145642522@qq.com</v>
      </c>
      <c r="P276" s="4">
        <f>""</f>
      </c>
      <c r="Q276" s="4" t="str">
        <f>"2017.07.01"</f>
        <v>2017.07.01</v>
      </c>
      <c r="R276" s="4" t="str">
        <f t="shared" si="96"/>
        <v>是</v>
      </c>
      <c r="S276" s="4" t="str">
        <f>"2:小学"</f>
        <v>2:小学</v>
      </c>
      <c r="T276" s="4" t="str">
        <f>"暂无"</f>
        <v>暂无</v>
      </c>
      <c r="U276" s="4" t="str">
        <f>"暂无"</f>
        <v>暂无</v>
      </c>
      <c r="V276" s="4" t="str">
        <f t="shared" si="87"/>
        <v>小学</v>
      </c>
      <c r="W276" s="4" t="str">
        <f t="shared" si="88"/>
        <v>102:语文</v>
      </c>
      <c r="X276" s="4" t="str">
        <f t="shared" si="91"/>
        <v>通过</v>
      </c>
    </row>
    <row r="277" spans="1:24" s="1" customFormat="1" ht="71.25">
      <c r="A277" s="4" t="str">
        <f>"97"</f>
        <v>97</v>
      </c>
      <c r="B277" s="4" t="str">
        <f>"罗彩玉"</f>
        <v>罗彩玉</v>
      </c>
      <c r="C277" s="4" t="str">
        <f t="shared" si="95"/>
        <v>女        </v>
      </c>
      <c r="D277" s="4" t="str">
        <f>"壮族"</f>
        <v>壮族</v>
      </c>
      <c r="E277" s="4" t="str">
        <f>"广西隆林"</f>
        <v>广西隆林</v>
      </c>
      <c r="F277" s="4" t="str">
        <f>"1993年06月"</f>
        <v>1993年06月</v>
      </c>
      <c r="G277" s="4" t="str">
        <f t="shared" si="94"/>
        <v>共青团员</v>
      </c>
      <c r="H277" s="4" t="str">
        <f>"45263119930616052X"</f>
        <v>45263119930616052X</v>
      </c>
      <c r="I277" s="4" t="str">
        <f>"百色学院汉语"</f>
        <v>百色学院汉语</v>
      </c>
      <c r="J277" s="4" t="str">
        <f>"汉语"</f>
        <v>汉语</v>
      </c>
      <c r="K277" s="4" t="str">
        <f>"专科无学位"</f>
        <v>专科无学位</v>
      </c>
      <c r="L277" s="4" t="str">
        <f>"18777624178"</f>
        <v>18777624178</v>
      </c>
      <c r="M277" s="4" t="str">
        <f t="shared" si="90"/>
        <v>隆林县</v>
      </c>
      <c r="N277" s="4" t="str">
        <f>"广西隆林各族自治县沙梨乡委尧村岩蚌屯20号"</f>
        <v>广西隆林各族自治县沙梨乡委尧村岩蚌屯20号</v>
      </c>
      <c r="O277" s="4" t="str">
        <f>"994915242@qq.com"</f>
        <v>994915242@qq.com</v>
      </c>
      <c r="P277" s="4" t="str">
        <f>"2016.07.01"</f>
        <v>2016.07.01</v>
      </c>
      <c r="Q277" s="4" t="str">
        <f>"2016.07.01"</f>
        <v>2016.07.01</v>
      </c>
      <c r="R277" s="4" t="str">
        <f t="shared" si="96"/>
        <v>是</v>
      </c>
      <c r="S277" s="4" t="str">
        <f>"2:小学"</f>
        <v>2:小学</v>
      </c>
      <c r="T277" s="4" t="str">
        <f>"2016452032919"</f>
        <v>2016452032919</v>
      </c>
      <c r="U277" s="4" t="str">
        <f>"106091201606000638"</f>
        <v>106091201606000638</v>
      </c>
      <c r="V277" s="4" t="str">
        <f t="shared" si="87"/>
        <v>小学</v>
      </c>
      <c r="W277" s="4" t="str">
        <f t="shared" si="88"/>
        <v>102:语文</v>
      </c>
      <c r="X277" s="4" t="str">
        <f t="shared" si="91"/>
        <v>通过</v>
      </c>
    </row>
    <row r="278" spans="1:24" s="1" customFormat="1" ht="85.5">
      <c r="A278" s="4" t="str">
        <f>"98"</f>
        <v>98</v>
      </c>
      <c r="B278" s="4" t="str">
        <f>"班利巧"</f>
        <v>班利巧</v>
      </c>
      <c r="C278" s="4" t="str">
        <f t="shared" si="95"/>
        <v>女        </v>
      </c>
      <c r="D278" s="4" t="str">
        <f>"壮族"</f>
        <v>壮族</v>
      </c>
      <c r="E278" s="4" t="str">
        <f>"广西百色"</f>
        <v>广西百色</v>
      </c>
      <c r="F278" s="4" t="str">
        <f>"1995年04月"</f>
        <v>1995年04月</v>
      </c>
      <c r="G278" s="4" t="str">
        <f t="shared" si="94"/>
        <v>共青团员</v>
      </c>
      <c r="H278" s="4" t="str">
        <f>"452631199504021547"</f>
        <v>452631199504021547</v>
      </c>
      <c r="I278" s="4" t="str">
        <f>"南宁地区教育学院英语教育"</f>
        <v>南宁地区教育学院英语教育</v>
      </c>
      <c r="J278" s="4" t="str">
        <f>"英语教育"</f>
        <v>英语教育</v>
      </c>
      <c r="K278" s="4" t="str">
        <f>"专科无学位"</f>
        <v>专科无学位</v>
      </c>
      <c r="L278" s="4" t="str">
        <f>"18577663845"</f>
        <v>18577663845</v>
      </c>
      <c r="M278" s="4" t="str">
        <f t="shared" si="90"/>
        <v>隆林县</v>
      </c>
      <c r="N278" s="4" t="str">
        <f>"广西隆林各族自治县新州镇者隘村岩腾屯041号"</f>
        <v>广西隆林各族自治县新州镇者隘村岩腾屯041号</v>
      </c>
      <c r="O278" s="4" t="str">
        <f>"1370874620@qq.com"</f>
        <v>1370874620@qq.com</v>
      </c>
      <c r="P278" s="4" t="str">
        <f>"2017.02.01"</f>
        <v>2017.02.01</v>
      </c>
      <c r="Q278" s="4" t="str">
        <f>"2017.06.01"</f>
        <v>2017.06.01</v>
      </c>
      <c r="R278" s="4" t="str">
        <f t="shared" si="96"/>
        <v>是</v>
      </c>
      <c r="S278" s="4" t="str">
        <f>"2:小学"</f>
        <v>2:小学</v>
      </c>
      <c r="T278" s="4" t="str">
        <f>"2017届毕业生填暂无"</f>
        <v>2017届毕业生填暂无</v>
      </c>
      <c r="U278" s="4" t="str">
        <f>"2017届毕业生填暂无"</f>
        <v>2017届毕业生填暂无</v>
      </c>
      <c r="V278" s="4" t="str">
        <f t="shared" si="87"/>
        <v>小学</v>
      </c>
      <c r="W278" s="4" t="str">
        <f t="shared" si="88"/>
        <v>102:语文</v>
      </c>
      <c r="X278" s="4" t="str">
        <f t="shared" si="91"/>
        <v>通过</v>
      </c>
    </row>
    <row r="279" spans="1:24" s="1" customFormat="1" ht="85.5">
      <c r="A279" s="4" t="str">
        <f>"99"</f>
        <v>99</v>
      </c>
      <c r="B279" s="4" t="str">
        <f>"何焌栩"</f>
        <v>何焌栩</v>
      </c>
      <c r="C279" s="4" t="str">
        <f t="shared" si="95"/>
        <v>女        </v>
      </c>
      <c r="D279" s="4" t="str">
        <f>"汉族"</f>
        <v>汉族</v>
      </c>
      <c r="E279" s="4" t="str">
        <f>"云南曲靖"</f>
        <v>云南曲靖</v>
      </c>
      <c r="F279" s="4" t="str">
        <f>"1992年04月"</f>
        <v>1992年04月</v>
      </c>
      <c r="G279" s="4" t="str">
        <f>"中共党员"</f>
        <v>中共党员</v>
      </c>
      <c r="H279" s="4" t="str">
        <f>"530328199204020941"</f>
        <v>530328199204020941</v>
      </c>
      <c r="I279" s="4" t="str">
        <f>"昆明学院汉语言文学"</f>
        <v>昆明学院汉语言文学</v>
      </c>
      <c r="J279" s="4" t="str">
        <f>"汉语言文学"</f>
        <v>汉语言文学</v>
      </c>
      <c r="K279" s="4" t="str">
        <f>"本科学士"</f>
        <v>本科学士</v>
      </c>
      <c r="L279" s="4" t="str">
        <f>"18788045794"</f>
        <v>18788045794</v>
      </c>
      <c r="M279" s="4" t="str">
        <f t="shared" si="90"/>
        <v>隆林县</v>
      </c>
      <c r="N279" s="4" t="str">
        <f>"云南省曲靖市沾益县西平镇大营村委会红光村27号"</f>
        <v>云南省曲靖市沾益县西平镇大营村委会红光村27号</v>
      </c>
      <c r="O279" s="4" t="str">
        <f>"1325898678@qq.com"</f>
        <v>1325898678@qq.com</v>
      </c>
      <c r="P279" s="4">
        <f>""</f>
      </c>
      <c r="Q279" s="4" t="str">
        <f>"2017.07.01"</f>
        <v>2017.07.01</v>
      </c>
      <c r="R279" s="4" t="str">
        <f t="shared" si="96"/>
        <v>是</v>
      </c>
      <c r="S279" s="4" t="str">
        <f>"4:高级中学"</f>
        <v>4:高级中学</v>
      </c>
      <c r="T279" s="4" t="str">
        <f>"2017届毕业生填暂无"</f>
        <v>2017届毕业生填暂无</v>
      </c>
      <c r="U279" s="4" t="str">
        <f>"2017届毕业生填暂无"</f>
        <v>2017届毕业生填暂无</v>
      </c>
      <c r="V279" s="4" t="str">
        <f t="shared" si="87"/>
        <v>小学</v>
      </c>
      <c r="W279" s="4" t="str">
        <f t="shared" si="88"/>
        <v>102:语文</v>
      </c>
      <c r="X279" s="4" t="str">
        <f t="shared" si="91"/>
        <v>通过</v>
      </c>
    </row>
    <row r="280" spans="1:24" s="1" customFormat="1" ht="71.25">
      <c r="A280" s="4" t="str">
        <f>"100"</f>
        <v>100</v>
      </c>
      <c r="B280" s="4" t="str">
        <f>"王玲温"</f>
        <v>王玲温</v>
      </c>
      <c r="C280" s="4" t="str">
        <f t="shared" si="95"/>
        <v>女        </v>
      </c>
      <c r="D280" s="4" t="str">
        <f>"壮族"</f>
        <v>壮族</v>
      </c>
      <c r="E280" s="4" t="str">
        <f>"广西隆林各族自治县"</f>
        <v>广西隆林各族自治县</v>
      </c>
      <c r="F280" s="4" t="str">
        <f>"1993年10月"</f>
        <v>1993年10月</v>
      </c>
      <c r="G280" s="4" t="str">
        <f>"共青团员"</f>
        <v>共青团员</v>
      </c>
      <c r="H280" s="4" t="str">
        <f>"45263119931006002X"</f>
        <v>45263119931006002X</v>
      </c>
      <c r="I280" s="4" t="str">
        <f>"柳州职业技术学院商务英语"</f>
        <v>柳州职业技术学院商务英语</v>
      </c>
      <c r="J280" s="4" t="str">
        <f>"商务英语"</f>
        <v>商务英语</v>
      </c>
      <c r="K280" s="4" t="str">
        <f>"专科无学位"</f>
        <v>专科无学位</v>
      </c>
      <c r="L280" s="4" t="str">
        <f>"18775122529"</f>
        <v>18775122529</v>
      </c>
      <c r="M280" s="4" t="str">
        <f t="shared" si="90"/>
        <v>隆林县</v>
      </c>
      <c r="N280" s="4" t="str">
        <f>"广西隆林各族自治县新州镇含山村泥浪屯"</f>
        <v>广西隆林各族自治县新州镇含山村泥浪屯</v>
      </c>
      <c r="O280" s="4" t="str">
        <f>"1130815985@qq.com"</f>
        <v>1130815985@qq.com</v>
      </c>
      <c r="P280" s="4" t="str">
        <f>"2015.06.01"</f>
        <v>2015.06.01</v>
      </c>
      <c r="Q280" s="4" t="str">
        <f>"2015.06.01"</f>
        <v>2015.06.01</v>
      </c>
      <c r="R280" s="4" t="str">
        <f>"不是"</f>
        <v>不是</v>
      </c>
      <c r="S280" s="4" t="str">
        <f>"2:小学"</f>
        <v>2:小学</v>
      </c>
      <c r="T280" s="4" t="str">
        <f>"2016452033038"</f>
        <v>2016452033038</v>
      </c>
      <c r="U280" s="4" t="str">
        <f>"121041201506004049"</f>
        <v>121041201506004049</v>
      </c>
      <c r="V280" s="4" t="str">
        <f t="shared" si="87"/>
        <v>小学</v>
      </c>
      <c r="W280" s="4" t="str">
        <f t="shared" si="88"/>
        <v>102:语文</v>
      </c>
      <c r="X280" s="4" t="str">
        <f t="shared" si="91"/>
        <v>通过</v>
      </c>
    </row>
    <row r="281" spans="1:24" s="1" customFormat="1" ht="71.25">
      <c r="A281" s="4" t="str">
        <f>"101"</f>
        <v>101</v>
      </c>
      <c r="B281" s="4" t="str">
        <f>"韦玉瑾"</f>
        <v>韦玉瑾</v>
      </c>
      <c r="C281" s="4" t="str">
        <f t="shared" si="95"/>
        <v>女        </v>
      </c>
      <c r="D281" s="4" t="str">
        <f>"壮族"</f>
        <v>壮族</v>
      </c>
      <c r="E281" s="4" t="str">
        <f>"广西百色市凌云县"</f>
        <v>广西百色市凌云县</v>
      </c>
      <c r="F281" s="4" t="str">
        <f>"1993年01月"</f>
        <v>1993年01月</v>
      </c>
      <c r="G281" s="4" t="str">
        <f>"共青团员"</f>
        <v>共青团员</v>
      </c>
      <c r="H281" s="4" t="str">
        <f>"452628199301022445"</f>
        <v>452628199301022445</v>
      </c>
      <c r="I281" s="4" t="str">
        <f>"广西教育学院特殊教育"</f>
        <v>广西教育学院特殊教育</v>
      </c>
      <c r="J281" s="4" t="str">
        <f>"特殊教育"</f>
        <v>特殊教育</v>
      </c>
      <c r="K281" s="4" t="str">
        <f>"专科无学位"</f>
        <v>专科无学位</v>
      </c>
      <c r="L281" s="4" t="str">
        <f>"15507716421"</f>
        <v>15507716421</v>
      </c>
      <c r="M281" s="4" t="str">
        <f t="shared" si="90"/>
        <v>隆林县</v>
      </c>
      <c r="N281" s="4" t="str">
        <f>"广西百色市凌云县加尤镇下伞村那汉屯9号"</f>
        <v>广西百色市凌云县加尤镇下伞村那汉屯9号</v>
      </c>
      <c r="O281" s="4" t="str">
        <f>"958566373@qq.com"</f>
        <v>958566373@qq.com</v>
      </c>
      <c r="P281" s="4" t="str">
        <f>"2016.08.01"</f>
        <v>2016.08.01</v>
      </c>
      <c r="Q281" s="4" t="str">
        <f>"2016.06.01"</f>
        <v>2016.06.01</v>
      </c>
      <c r="R281" s="4" t="str">
        <f>"是"</f>
        <v>是</v>
      </c>
      <c r="S281" s="4" t="str">
        <f>"2:小学"</f>
        <v>2:小学</v>
      </c>
      <c r="T281" s="4" t="str">
        <f>"2016452033241"</f>
        <v>2016452033241</v>
      </c>
      <c r="U281" s="4" t="str">
        <f>"508701201606000538"</f>
        <v>508701201606000538</v>
      </c>
      <c r="V281" s="4" t="str">
        <f t="shared" si="87"/>
        <v>小学</v>
      </c>
      <c r="W281" s="4" t="str">
        <f t="shared" si="88"/>
        <v>102:语文</v>
      </c>
      <c r="X281" s="4" t="str">
        <f t="shared" si="91"/>
        <v>通过</v>
      </c>
    </row>
    <row r="282" spans="1:24" s="1" customFormat="1" ht="71.25">
      <c r="A282" s="4" t="str">
        <f>"102"</f>
        <v>102</v>
      </c>
      <c r="B282" s="4" t="str">
        <f>"黄丽梅"</f>
        <v>黄丽梅</v>
      </c>
      <c r="C282" s="4" t="str">
        <f t="shared" si="95"/>
        <v>女        </v>
      </c>
      <c r="D282" s="4" t="str">
        <f>"壮族"</f>
        <v>壮族</v>
      </c>
      <c r="E282" s="4" t="str">
        <f>"广西"</f>
        <v>广西</v>
      </c>
      <c r="F282" s="4" t="str">
        <f>"1991年03月"</f>
        <v>1991年03月</v>
      </c>
      <c r="G282" s="4" t="str">
        <f>"中共党员"</f>
        <v>中共党员</v>
      </c>
      <c r="H282" s="4" t="str">
        <f>"452631199103102303"</f>
        <v>452631199103102303</v>
      </c>
      <c r="I282" s="4" t="str">
        <f>"广西师范学院市场营销"</f>
        <v>广西师范学院市场营销</v>
      </c>
      <c r="J282" s="4" t="str">
        <f>"市场营销"</f>
        <v>市场营销</v>
      </c>
      <c r="K282" s="4" t="str">
        <f>"本科无学位"</f>
        <v>本科无学位</v>
      </c>
      <c r="L282" s="4" t="str">
        <f>"18376642663"</f>
        <v>18376642663</v>
      </c>
      <c r="M282" s="4" t="str">
        <f t="shared" si="90"/>
        <v>隆林县</v>
      </c>
      <c r="N282" s="4" t="str">
        <f>"广西隆林各组自治县天生桥镇委果村九腾屯"</f>
        <v>广西隆林各组自治县天生桥镇委果村九腾屯</v>
      </c>
      <c r="O282" s="4" t="str">
        <f>"1874923747@qq.com"</f>
        <v>1874923747@qq.com</v>
      </c>
      <c r="P282" s="4" t="str">
        <f>"2017.05.01"</f>
        <v>2017.05.01</v>
      </c>
      <c r="Q282" s="4" t="str">
        <f>"2017.07.01"</f>
        <v>2017.07.01</v>
      </c>
      <c r="R282" s="4" t="str">
        <f>"不是"</f>
        <v>不是</v>
      </c>
      <c r="S282" s="4" t="str">
        <f>"0:暂未取得"</f>
        <v>0:暂未取得</v>
      </c>
      <c r="T282" s="4" t="str">
        <f>"暂无"</f>
        <v>暂无</v>
      </c>
      <c r="U282" s="4" t="str">
        <f>"暂无"</f>
        <v>暂无</v>
      </c>
      <c r="V282" s="4" t="str">
        <f t="shared" si="87"/>
        <v>小学</v>
      </c>
      <c r="W282" s="4" t="str">
        <f t="shared" si="88"/>
        <v>102:语文</v>
      </c>
      <c r="X282" s="4" t="str">
        <f t="shared" si="91"/>
        <v>通过</v>
      </c>
    </row>
    <row r="283" spans="1:24" s="1" customFormat="1" ht="57">
      <c r="A283" s="4" t="str">
        <f>"103"</f>
        <v>103</v>
      </c>
      <c r="B283" s="4" t="str">
        <f>"李静"</f>
        <v>李静</v>
      </c>
      <c r="C283" s="4" t="str">
        <f t="shared" si="95"/>
        <v>女        </v>
      </c>
      <c r="D283" s="4" t="str">
        <f>"彝族"</f>
        <v>彝族</v>
      </c>
      <c r="E283" s="4" t="str">
        <f>"云南蒙自"</f>
        <v>云南蒙自</v>
      </c>
      <c r="F283" s="4" t="str">
        <f>"1991年12月"</f>
        <v>1991年12月</v>
      </c>
      <c r="G283" s="4" t="str">
        <f>"群众"</f>
        <v>群众</v>
      </c>
      <c r="H283" s="4" t="str">
        <f>"532522199112152140"</f>
        <v>532522199112152140</v>
      </c>
      <c r="I283" s="4" t="str">
        <f>"昆明学院思想政治教育"</f>
        <v>昆明学院思想政治教育</v>
      </c>
      <c r="J283" s="4" t="str">
        <f>"思想政治教育"</f>
        <v>思想政治教育</v>
      </c>
      <c r="K283" s="4" t="str">
        <f>"本科学士"</f>
        <v>本科学士</v>
      </c>
      <c r="L283" s="4" t="str">
        <f>"15025158796"</f>
        <v>15025158796</v>
      </c>
      <c r="M283" s="4" t="str">
        <f t="shared" si="90"/>
        <v>隆林县</v>
      </c>
      <c r="N283" s="4" t="str">
        <f>"云南省红河州蒙自市草坝镇仙景村"</f>
        <v>云南省红河州蒙自市草坝镇仙景村</v>
      </c>
      <c r="O283" s="4" t="str">
        <f>"2473045467@qq.com"</f>
        <v>2473045467@qq.com</v>
      </c>
      <c r="P283" s="4" t="str">
        <f>"2015.09.01"</f>
        <v>2015.09.01</v>
      </c>
      <c r="Q283" s="4" t="str">
        <f>"2015.07.01"</f>
        <v>2015.07.01</v>
      </c>
      <c r="R283" s="4" t="str">
        <f>"是"</f>
        <v>是</v>
      </c>
      <c r="S283" s="4" t="str">
        <f>"4:高级中学"</f>
        <v>4:高级中学</v>
      </c>
      <c r="T283" s="4" t="str">
        <f>"20155300242001642"</f>
        <v>20155300242001642</v>
      </c>
      <c r="U283" s="4" t="str">
        <f>"113931201505001028"</f>
        <v>113931201505001028</v>
      </c>
      <c r="V283" s="4" t="str">
        <f t="shared" si="87"/>
        <v>小学</v>
      </c>
      <c r="W283" s="4" t="str">
        <f t="shared" si="88"/>
        <v>102:语文</v>
      </c>
      <c r="X283" s="4" t="str">
        <f t="shared" si="91"/>
        <v>通过</v>
      </c>
    </row>
    <row r="284" spans="1:24" s="1" customFormat="1" ht="85.5">
      <c r="A284" s="4" t="str">
        <f>"104"</f>
        <v>104</v>
      </c>
      <c r="B284" s="4" t="str">
        <f>"罗佳优"</f>
        <v>罗佳优</v>
      </c>
      <c r="C284" s="4" t="str">
        <f t="shared" si="95"/>
        <v>女        </v>
      </c>
      <c r="D284" s="4" t="str">
        <f>"壮族"</f>
        <v>壮族</v>
      </c>
      <c r="E284" s="4" t="str">
        <f>"广西省隆林县"</f>
        <v>广西省隆林县</v>
      </c>
      <c r="F284" s="4" t="str">
        <f>"1985年03月"</f>
        <v>1985年03月</v>
      </c>
      <c r="G284" s="4" t="str">
        <f>"群众"</f>
        <v>群众</v>
      </c>
      <c r="H284" s="4" t="str">
        <f>"45263119850310176X"</f>
        <v>45263119850310176X</v>
      </c>
      <c r="I284" s="4" t="str">
        <f>"广西师范大学学前教育"</f>
        <v>广西师范大学学前教育</v>
      </c>
      <c r="J284" s="4" t="str">
        <f>"学前教育"</f>
        <v>学前教育</v>
      </c>
      <c r="K284" s="4" t="str">
        <f>"本科无学位"</f>
        <v>本科无学位</v>
      </c>
      <c r="L284" s="4" t="str">
        <f>"18077675009"</f>
        <v>18077675009</v>
      </c>
      <c r="M284" s="4" t="str">
        <f t="shared" si="90"/>
        <v>隆林县</v>
      </c>
      <c r="N284" s="4" t="str">
        <f>"广西省百色市隆林县者保乡南光村半麻屯024号"</f>
        <v>广西省百色市隆林县者保乡南光村半麻屯024号</v>
      </c>
      <c r="O284" s="4" t="str">
        <f>"214966282@qq.com"</f>
        <v>214966282@qq.com</v>
      </c>
      <c r="P284" s="4">
        <f>""</f>
      </c>
      <c r="Q284" s="4" t="str">
        <f>"2017.06.01"</f>
        <v>2017.06.01</v>
      </c>
      <c r="R284" s="4" t="str">
        <f>"是"</f>
        <v>是</v>
      </c>
      <c r="S284" s="4" t="str">
        <f>"2:小学"</f>
        <v>2:小学</v>
      </c>
      <c r="T284" s="4" t="str">
        <f>"20074580021000756"</f>
        <v>20074580021000756</v>
      </c>
      <c r="U284" s="4" t="str">
        <f>"2015162500692"</f>
        <v>2015162500692</v>
      </c>
      <c r="V284" s="4" t="str">
        <f t="shared" si="87"/>
        <v>小学</v>
      </c>
      <c r="W284" s="4" t="str">
        <f t="shared" si="88"/>
        <v>102:语文</v>
      </c>
      <c r="X284" s="4" t="str">
        <f t="shared" si="91"/>
        <v>通过</v>
      </c>
    </row>
    <row r="285" spans="1:24" s="1" customFormat="1" ht="71.25">
      <c r="A285" s="4" t="str">
        <f>"105"</f>
        <v>105</v>
      </c>
      <c r="B285" s="4" t="str">
        <f>"罗晓"</f>
        <v>罗晓</v>
      </c>
      <c r="C285" s="4" t="str">
        <f t="shared" si="95"/>
        <v>女        </v>
      </c>
      <c r="D285" s="4" t="str">
        <f>"苗族"</f>
        <v>苗族</v>
      </c>
      <c r="E285" s="4" t="str">
        <f>"广西隆林"</f>
        <v>广西隆林</v>
      </c>
      <c r="F285" s="4" t="str">
        <f>"1995年06月"</f>
        <v>1995年06月</v>
      </c>
      <c r="G285" s="4" t="str">
        <f>"共青团员"</f>
        <v>共青团员</v>
      </c>
      <c r="H285" s="4" t="str">
        <f>"452631199506143388"</f>
        <v>452631199506143388</v>
      </c>
      <c r="I285" s="4" t="str">
        <f>"百色学院汉语"</f>
        <v>百色学院汉语</v>
      </c>
      <c r="J285" s="4" t="str">
        <f>"汉语"</f>
        <v>汉语</v>
      </c>
      <c r="K285" s="4" t="str">
        <f>"专科无学位"</f>
        <v>专科无学位</v>
      </c>
      <c r="L285" s="4" t="str">
        <f>"18377617745"</f>
        <v>18377617745</v>
      </c>
      <c r="M285" s="4" t="str">
        <f t="shared" si="90"/>
        <v>隆林县</v>
      </c>
      <c r="N285" s="4" t="str">
        <f>"广西百色市隆林县德峨镇水井村平寨屯013号"</f>
        <v>广西百色市隆林县德峨镇水井村平寨屯013号</v>
      </c>
      <c r="O285" s="4" t="str">
        <f>"1120270762@qq.com"</f>
        <v>1120270762@qq.com</v>
      </c>
      <c r="P285" s="4">
        <f>""</f>
      </c>
      <c r="Q285" s="4" t="str">
        <f>"2017.06.01"</f>
        <v>2017.06.01</v>
      </c>
      <c r="R285" s="4" t="str">
        <f>"是"</f>
        <v>是</v>
      </c>
      <c r="S285" s="4" t="str">
        <f>"2:小学"</f>
        <v>2:小学</v>
      </c>
      <c r="T285" s="4" t="str">
        <f>"2017452015901"</f>
        <v>2017452015901</v>
      </c>
      <c r="U285" s="4" t="str">
        <f>"无"</f>
        <v>无</v>
      </c>
      <c r="V285" s="4" t="str">
        <f t="shared" si="87"/>
        <v>小学</v>
      </c>
      <c r="W285" s="4" t="str">
        <f t="shared" si="88"/>
        <v>102:语文</v>
      </c>
      <c r="X285" s="4" t="str">
        <f t="shared" si="91"/>
        <v>通过</v>
      </c>
    </row>
    <row r="286" spans="1:24" s="1" customFormat="1" ht="85.5">
      <c r="A286" s="4" t="str">
        <f>"106"</f>
        <v>106</v>
      </c>
      <c r="B286" s="4" t="str">
        <f>"杨刚"</f>
        <v>杨刚</v>
      </c>
      <c r="C286" s="4" t="str">
        <f>"男        "</f>
        <v>男        </v>
      </c>
      <c r="D286" s="4" t="str">
        <f>"汉族"</f>
        <v>汉族</v>
      </c>
      <c r="E286" s="4" t="str">
        <f>"云南玉溪"</f>
        <v>云南玉溪</v>
      </c>
      <c r="F286" s="4" t="str">
        <f>"1993年12月"</f>
        <v>1993年12月</v>
      </c>
      <c r="G286" s="4" t="str">
        <f>"共青团员"</f>
        <v>共青团员</v>
      </c>
      <c r="H286" s="4" t="str">
        <f>"530402199312290916"</f>
        <v>530402199312290916</v>
      </c>
      <c r="I286" s="4" t="str">
        <f>"普洱学院历史教育"</f>
        <v>普洱学院历史教育</v>
      </c>
      <c r="J286" s="4" t="str">
        <f>"历史教育"</f>
        <v>历史教育</v>
      </c>
      <c r="K286" s="4" t="str">
        <f>"专科无学位"</f>
        <v>专科无学位</v>
      </c>
      <c r="L286" s="4" t="str">
        <f>"18187754578"</f>
        <v>18187754578</v>
      </c>
      <c r="M286" s="4" t="str">
        <f t="shared" si="90"/>
        <v>隆林县</v>
      </c>
      <c r="N286" s="4" t="str">
        <f>"云南省玉溪市红塔区春和街道春和社区倪井1幢11号"</f>
        <v>云南省玉溪市红塔区春和街道春和社区倪井1幢11号</v>
      </c>
      <c r="O286" s="4" t="str">
        <f>"734790025@qq.com"</f>
        <v>734790025@qq.com</v>
      </c>
      <c r="P286" s="4">
        <f>""</f>
      </c>
      <c r="Q286" s="4" t="str">
        <f>"2016.07.01"</f>
        <v>2016.07.01</v>
      </c>
      <c r="R286" s="4" t="str">
        <f>"是"</f>
        <v>是</v>
      </c>
      <c r="S286" s="4" t="str">
        <f>"3:初级中学"</f>
        <v>3:初级中学</v>
      </c>
      <c r="T286" s="4" t="str">
        <f>"20165308331000329"</f>
        <v>20165308331000329</v>
      </c>
      <c r="U286" s="4" t="str">
        <f>"106851201606000676"</f>
        <v>106851201606000676</v>
      </c>
      <c r="V286" s="4" t="str">
        <f t="shared" si="87"/>
        <v>小学</v>
      </c>
      <c r="W286" s="4" t="str">
        <f t="shared" si="88"/>
        <v>102:语文</v>
      </c>
      <c r="X286" s="4" t="str">
        <f t="shared" si="91"/>
        <v>通过</v>
      </c>
    </row>
    <row r="287" spans="1:24" s="1" customFormat="1" ht="71.25">
      <c r="A287" s="4" t="str">
        <f>"107"</f>
        <v>107</v>
      </c>
      <c r="B287" s="4" t="str">
        <f>"王德志"</f>
        <v>王德志</v>
      </c>
      <c r="C287" s="4" t="str">
        <f>"男        "</f>
        <v>男        </v>
      </c>
      <c r="D287" s="4" t="str">
        <f>"苗族"</f>
        <v>苗族</v>
      </c>
      <c r="E287" s="4" t="str">
        <f>"云南屏边"</f>
        <v>云南屏边</v>
      </c>
      <c r="F287" s="4" t="str">
        <f>"1992年08月"</f>
        <v>1992年08月</v>
      </c>
      <c r="G287" s="4" t="str">
        <f>"共青团员"</f>
        <v>共青团员</v>
      </c>
      <c r="H287" s="4" t="str">
        <f>"532523199208141418"</f>
        <v>532523199208141418</v>
      </c>
      <c r="I287" s="4" t="str">
        <f>"海南大学思想政治教育"</f>
        <v>海南大学思想政治教育</v>
      </c>
      <c r="J287" s="4" t="str">
        <f>"思想政治教育"</f>
        <v>思想政治教育</v>
      </c>
      <c r="K287" s="4" t="str">
        <f>"本科学士"</f>
        <v>本科学士</v>
      </c>
      <c r="L287" s="4" t="str">
        <f>"13466294224"</f>
        <v>13466294224</v>
      </c>
      <c r="M287" s="4" t="str">
        <f t="shared" si="90"/>
        <v>隆林县</v>
      </c>
      <c r="N287" s="4" t="str">
        <f>"云南省红河州蒙自市文萃路南延春熙苑小区"</f>
        <v>云南省红河州蒙自市文萃路南延春熙苑小区</v>
      </c>
      <c r="O287" s="4" t="str">
        <f>"2583984536@qq.com"</f>
        <v>2583984536@qq.com</v>
      </c>
      <c r="P287" s="4">
        <f>""</f>
      </c>
      <c r="Q287" s="4" t="str">
        <f>"2015.06.01"</f>
        <v>2015.06.01</v>
      </c>
      <c r="R287" s="4" t="str">
        <f>"不是"</f>
        <v>不是</v>
      </c>
      <c r="S287" s="4" t="str">
        <f>"3:初级中学"</f>
        <v>3:初级中学</v>
      </c>
      <c r="T287" s="4" t="str">
        <f>"2016533003391"</f>
        <v>2016533003391</v>
      </c>
      <c r="U287" s="4" t="str">
        <f>"105891201505001812"</f>
        <v>105891201505001812</v>
      </c>
      <c r="V287" s="4" t="str">
        <f t="shared" si="87"/>
        <v>小学</v>
      </c>
      <c r="W287" s="4" t="str">
        <f t="shared" si="88"/>
        <v>102:语文</v>
      </c>
      <c r="X287" s="4" t="str">
        <f t="shared" si="91"/>
        <v>通过</v>
      </c>
    </row>
    <row r="288" spans="1:24" s="1" customFormat="1" ht="85.5">
      <c r="A288" s="4" t="str">
        <f>"108"</f>
        <v>108</v>
      </c>
      <c r="B288" s="4" t="str">
        <f>"陆丽爽"</f>
        <v>陆丽爽</v>
      </c>
      <c r="C288" s="4" t="str">
        <f aca="true" t="shared" si="97" ref="C288:C297">"女        "</f>
        <v>女        </v>
      </c>
      <c r="D288" s="4" t="str">
        <f>"壮族"</f>
        <v>壮族</v>
      </c>
      <c r="E288" s="4" t="str">
        <f>"广西百色"</f>
        <v>广西百色</v>
      </c>
      <c r="F288" s="4" t="str">
        <f>"1995年03月"</f>
        <v>1995年03月</v>
      </c>
      <c r="G288" s="4" t="str">
        <f>"共青团员"</f>
        <v>共青团员</v>
      </c>
      <c r="H288" s="4" t="str">
        <f>"452631199503071809"</f>
        <v>452631199503071809</v>
      </c>
      <c r="I288" s="4" t="str">
        <f>"百色学院学前教育"</f>
        <v>百色学院学前教育</v>
      </c>
      <c r="J288" s="4" t="str">
        <f>"学前教育"</f>
        <v>学前教育</v>
      </c>
      <c r="K288" s="4" t="str">
        <f>"专科无学位"</f>
        <v>专科无学位</v>
      </c>
      <c r="L288" s="4" t="str">
        <f>"17807762892"</f>
        <v>17807762892</v>
      </c>
      <c r="M288" s="4" t="str">
        <f t="shared" si="90"/>
        <v>隆林县</v>
      </c>
      <c r="N288" s="4" t="str">
        <f>"广西隆林各族自治县者保乡同福村腊仁屯014号"</f>
        <v>广西隆林各族自治县者保乡同福村腊仁屯014号</v>
      </c>
      <c r="O288" s="4" t="str">
        <f>"1243229037@qq.com"</f>
        <v>1243229037@qq.com</v>
      </c>
      <c r="P288" s="4" t="str">
        <f>"2017.03.01"</f>
        <v>2017.03.01</v>
      </c>
      <c r="Q288" s="4" t="str">
        <f>"2017.06.01"</f>
        <v>2017.06.01</v>
      </c>
      <c r="R288" s="4" t="str">
        <f>"是"</f>
        <v>是</v>
      </c>
      <c r="S288" s="4" t="str">
        <f>"1:幼儿园"</f>
        <v>1:幼儿园</v>
      </c>
      <c r="T288" s="4" t="str">
        <f>"无"</f>
        <v>无</v>
      </c>
      <c r="U288" s="4" t="str">
        <f>"无"</f>
        <v>无</v>
      </c>
      <c r="V288" s="4" t="str">
        <f t="shared" si="87"/>
        <v>小学</v>
      </c>
      <c r="W288" s="4" t="str">
        <f t="shared" si="88"/>
        <v>102:语文</v>
      </c>
      <c r="X288" s="4" t="str">
        <f t="shared" si="91"/>
        <v>通过</v>
      </c>
    </row>
    <row r="289" spans="1:24" s="1" customFormat="1" ht="57">
      <c r="A289" s="4" t="str">
        <f>"109"</f>
        <v>109</v>
      </c>
      <c r="B289" s="4" t="str">
        <f>"秦越意"</f>
        <v>秦越意</v>
      </c>
      <c r="C289" s="4" t="str">
        <f t="shared" si="97"/>
        <v>女        </v>
      </c>
      <c r="D289" s="4" t="str">
        <f>"汉族"</f>
        <v>汉族</v>
      </c>
      <c r="E289" s="4" t="str">
        <f>"贵州望谟"</f>
        <v>贵州望谟</v>
      </c>
      <c r="F289" s="4" t="str">
        <f>"1994年08月"</f>
        <v>1994年08月</v>
      </c>
      <c r="G289" s="4" t="str">
        <f>"共青团员"</f>
        <v>共青团员</v>
      </c>
      <c r="H289" s="4" t="str">
        <f>"52232619940815202X"</f>
        <v>52232619940815202X</v>
      </c>
      <c r="I289" s="4" t="str">
        <f>"铜仁幼儿师范高等专科学校初等教育"</f>
        <v>铜仁幼儿师范高等专科学校初等教育</v>
      </c>
      <c r="J289" s="4" t="str">
        <f>"初等教育"</f>
        <v>初等教育</v>
      </c>
      <c r="K289" s="4" t="str">
        <f>"专科无学位"</f>
        <v>专科无学位</v>
      </c>
      <c r="L289" s="4" t="str">
        <f>"18286622935"</f>
        <v>18286622935</v>
      </c>
      <c r="M289" s="4" t="str">
        <f t="shared" si="90"/>
        <v>隆林县</v>
      </c>
      <c r="N289" s="4" t="str">
        <f>"贵州省望谟县大观乡下伏开村一组"</f>
        <v>贵州省望谟县大观乡下伏开村一组</v>
      </c>
      <c r="O289" s="4" t="str">
        <f>"1969363070@qq.com"</f>
        <v>1969363070@qq.com</v>
      </c>
      <c r="P289" s="4">
        <f>""</f>
      </c>
      <c r="Q289" s="4" t="str">
        <f>"2017.07.01"</f>
        <v>2017.07.01</v>
      </c>
      <c r="R289" s="4" t="str">
        <f>"是"</f>
        <v>是</v>
      </c>
      <c r="S289" s="4" t="str">
        <f>"2:小学"</f>
        <v>2:小学</v>
      </c>
      <c r="T289" s="4" t="str">
        <f>"暂无"</f>
        <v>暂无</v>
      </c>
      <c r="U289" s="4" t="str">
        <f>"暂无"</f>
        <v>暂无</v>
      </c>
      <c r="V289" s="4" t="str">
        <f t="shared" si="87"/>
        <v>小学</v>
      </c>
      <c r="W289" s="4" t="str">
        <f t="shared" si="88"/>
        <v>102:语文</v>
      </c>
      <c r="X289" s="4" t="str">
        <f t="shared" si="91"/>
        <v>通过</v>
      </c>
    </row>
    <row r="290" spans="1:24" s="1" customFormat="1" ht="99.75">
      <c r="A290" s="4" t="str">
        <f>"110"</f>
        <v>110</v>
      </c>
      <c r="B290" s="4" t="str">
        <f>"谢颉"</f>
        <v>谢颉</v>
      </c>
      <c r="C290" s="4" t="str">
        <f t="shared" si="97"/>
        <v>女        </v>
      </c>
      <c r="D290" s="4" t="str">
        <f>"汉族"</f>
        <v>汉族</v>
      </c>
      <c r="E290" s="4" t="str">
        <f>"广西隆林各族自治县"</f>
        <v>广西隆林各族自治县</v>
      </c>
      <c r="F290" s="4" t="str">
        <f>"1995年01月"</f>
        <v>1995年01月</v>
      </c>
      <c r="G290" s="4" t="str">
        <f>"中共预备党员"</f>
        <v>中共预备党员</v>
      </c>
      <c r="H290" s="4" t="str">
        <f>"452631199501180024"</f>
        <v>452631199501180024</v>
      </c>
      <c r="I290" s="4" t="str">
        <f>"广西师范学院文化产业管理专业"</f>
        <v>广西师范学院文化产业管理专业</v>
      </c>
      <c r="J290" s="4" t="str">
        <f>"文化产业管理专业"</f>
        <v>文化产业管理专业</v>
      </c>
      <c r="K290" s="4" t="str">
        <f>"本科学士"</f>
        <v>本科学士</v>
      </c>
      <c r="L290" s="4" t="str">
        <f>"18377104502"</f>
        <v>18377104502</v>
      </c>
      <c r="M290" s="4" t="str">
        <f t="shared" si="90"/>
        <v>隆林县</v>
      </c>
      <c r="N290" s="4" t="str">
        <f>"广西隆林各族自治县新州镇民权社区中环路034号老建行宿"</f>
        <v>广西隆林各族自治县新州镇民权社区中环路034号老建行宿</v>
      </c>
      <c r="O290" s="4" t="str">
        <f>"610368580@qq.com"</f>
        <v>610368580@qq.com</v>
      </c>
      <c r="P290" s="4">
        <f>""</f>
      </c>
      <c r="Q290" s="4" t="str">
        <f>"2017.06.01"</f>
        <v>2017.06.01</v>
      </c>
      <c r="R290" s="4" t="str">
        <f>"不是"</f>
        <v>不是</v>
      </c>
      <c r="S290" s="4" t="str">
        <f>"4:高级中学"</f>
        <v>4:高级中学</v>
      </c>
      <c r="T290" s="4" t="str">
        <f>"2017届毕业生填暂无"</f>
        <v>2017届毕业生填暂无</v>
      </c>
      <c r="U290" s="4" t="str">
        <f>"2017届毕业生填暂无"</f>
        <v>2017届毕业生填暂无</v>
      </c>
      <c r="V290" s="4" t="str">
        <f t="shared" si="87"/>
        <v>小学</v>
      </c>
      <c r="W290" s="4" t="str">
        <f t="shared" si="88"/>
        <v>102:语文</v>
      </c>
      <c r="X290" s="4" t="str">
        <f t="shared" si="91"/>
        <v>通过</v>
      </c>
    </row>
    <row r="291" spans="1:24" s="1" customFormat="1" ht="71.25">
      <c r="A291" s="4" t="str">
        <f>"111"</f>
        <v>111</v>
      </c>
      <c r="B291" s="4" t="str">
        <f>"周金妮"</f>
        <v>周金妮</v>
      </c>
      <c r="C291" s="4" t="str">
        <f t="shared" si="97"/>
        <v>女        </v>
      </c>
      <c r="D291" s="4" t="str">
        <f>"壮族"</f>
        <v>壮族</v>
      </c>
      <c r="E291" s="4" t="str">
        <f>"广西隆林"</f>
        <v>广西隆林</v>
      </c>
      <c r="F291" s="4" t="str">
        <f>"1989年12月"</f>
        <v>1989年12月</v>
      </c>
      <c r="G291" s="4" t="str">
        <f>"共青团员"</f>
        <v>共青团员</v>
      </c>
      <c r="H291" s="4" t="str">
        <f>"45263119891216004x"</f>
        <v>45263119891216004x</v>
      </c>
      <c r="I291" s="4" t="str">
        <f>"广西幼儿师范高等专科学校学前教育"</f>
        <v>广西幼儿师范高等专科学校学前教育</v>
      </c>
      <c r="J291" s="4" t="str">
        <f>"学前教育"</f>
        <v>学前教育</v>
      </c>
      <c r="K291" s="4" t="str">
        <f>"专科无学位"</f>
        <v>专科无学位</v>
      </c>
      <c r="L291" s="4" t="str">
        <f>"13036965803"</f>
        <v>13036965803</v>
      </c>
      <c r="M291" s="4" t="str">
        <f t="shared" si="90"/>
        <v>隆林县</v>
      </c>
      <c r="N291" s="4" t="str">
        <f>"广西省百色市隆林县新州镇民族路83号"</f>
        <v>广西省百色市隆林县新州镇民族路83号</v>
      </c>
      <c r="O291" s="4" t="str">
        <f>"649052279@qq.com"</f>
        <v>649052279@qq.com</v>
      </c>
      <c r="P291" s="4" t="str">
        <f>"2014.06.01"</f>
        <v>2014.06.01</v>
      </c>
      <c r="Q291" s="4" t="str">
        <f>"2014.06.01"</f>
        <v>2014.06.01</v>
      </c>
      <c r="R291" s="4" t="str">
        <f aca="true" t="shared" si="98" ref="R291:R303">"是"</f>
        <v>是</v>
      </c>
      <c r="S291" s="4" t="str">
        <f>"2:小学"</f>
        <v>2:小学</v>
      </c>
      <c r="T291" s="4" t="str">
        <f>"教师资格认定中"</f>
        <v>教师资格认定中</v>
      </c>
      <c r="U291" s="4" t="str">
        <f>"142205201406000130"</f>
        <v>142205201406000130</v>
      </c>
      <c r="V291" s="4" t="str">
        <f t="shared" si="87"/>
        <v>小学</v>
      </c>
      <c r="W291" s="4" t="str">
        <f t="shared" si="88"/>
        <v>102:语文</v>
      </c>
      <c r="X291" s="4" t="str">
        <f t="shared" si="91"/>
        <v>通过</v>
      </c>
    </row>
    <row r="292" spans="1:24" s="1" customFormat="1" ht="71.25">
      <c r="A292" s="4" t="str">
        <f>"112"</f>
        <v>112</v>
      </c>
      <c r="B292" s="4" t="str">
        <f>"农精精"</f>
        <v>农精精</v>
      </c>
      <c r="C292" s="4" t="str">
        <f t="shared" si="97"/>
        <v>女        </v>
      </c>
      <c r="D292" s="4" t="str">
        <f>"壮族"</f>
        <v>壮族</v>
      </c>
      <c r="E292" s="4" t="str">
        <f>"广西天等"</f>
        <v>广西天等</v>
      </c>
      <c r="F292" s="4" t="str">
        <f>"1994年08月"</f>
        <v>1994年08月</v>
      </c>
      <c r="G292" s="4" t="str">
        <f>"共青团员"</f>
        <v>共青团员</v>
      </c>
      <c r="H292" s="4" t="str">
        <f>"452131199408072128"</f>
        <v>452131199408072128</v>
      </c>
      <c r="I292" s="4" t="str">
        <f>"百色学院综合文科教育"</f>
        <v>百色学院综合文科教育</v>
      </c>
      <c r="J292" s="4" t="str">
        <f>"综合文科教育"</f>
        <v>综合文科教育</v>
      </c>
      <c r="K292" s="4" t="str">
        <f>"专科无学位"</f>
        <v>专科无学位</v>
      </c>
      <c r="L292" s="4" t="str">
        <f>"17807762023"</f>
        <v>17807762023</v>
      </c>
      <c r="M292" s="4" t="str">
        <f t="shared" si="90"/>
        <v>隆林县</v>
      </c>
      <c r="N292" s="4" t="str">
        <f>"广西崇左天等县东平镇安然村安然屯"</f>
        <v>广西崇左天等县东平镇安然村安然屯</v>
      </c>
      <c r="O292" s="4" t="str">
        <f>"983012815@qq.com"</f>
        <v>983012815@qq.com</v>
      </c>
      <c r="P292" s="4">
        <f>""</f>
      </c>
      <c r="Q292" s="4" t="str">
        <f>"2017.06.01"</f>
        <v>2017.06.01</v>
      </c>
      <c r="R292" s="4" t="str">
        <f t="shared" si="98"/>
        <v>是</v>
      </c>
      <c r="S292" s="4" t="str">
        <f>"0:暂未取得"</f>
        <v>0:暂未取得</v>
      </c>
      <c r="T292" s="4" t="str">
        <f>"2017届毕业生填暂无"</f>
        <v>2017届毕业生填暂无</v>
      </c>
      <c r="U292" s="4" t="str">
        <f>"2017届毕业生填暂无"</f>
        <v>2017届毕业生填暂无</v>
      </c>
      <c r="V292" s="4" t="str">
        <f t="shared" si="87"/>
        <v>小学</v>
      </c>
      <c r="W292" s="4" t="str">
        <f t="shared" si="88"/>
        <v>102:语文</v>
      </c>
      <c r="X292" s="4" t="str">
        <f t="shared" si="91"/>
        <v>通过</v>
      </c>
    </row>
    <row r="293" spans="1:24" s="1" customFormat="1" ht="71.25">
      <c r="A293" s="4" t="str">
        <f>"113"</f>
        <v>113</v>
      </c>
      <c r="B293" s="4" t="str">
        <f>"杨阿找"</f>
        <v>杨阿找</v>
      </c>
      <c r="C293" s="4" t="str">
        <f t="shared" si="97"/>
        <v>女        </v>
      </c>
      <c r="D293" s="4" t="str">
        <f>"壮族"</f>
        <v>壮族</v>
      </c>
      <c r="E293" s="4" t="str">
        <f>"广西百色市"</f>
        <v>广西百色市</v>
      </c>
      <c r="F293" s="4" t="str">
        <f>"1993年04月"</f>
        <v>1993年04月</v>
      </c>
      <c r="G293" s="4" t="str">
        <f>"共青团员"</f>
        <v>共青团员</v>
      </c>
      <c r="H293" s="4" t="str">
        <f>"452631199304040022"</f>
        <v>452631199304040022</v>
      </c>
      <c r="I293" s="4" t="str">
        <f>"钦州学院小学教育"</f>
        <v>钦州学院小学教育</v>
      </c>
      <c r="J293" s="4" t="str">
        <f>"小学教育"</f>
        <v>小学教育</v>
      </c>
      <c r="K293" s="4" t="str">
        <f>"本科学士"</f>
        <v>本科学士</v>
      </c>
      <c r="L293" s="4" t="str">
        <f>"15778761135"</f>
        <v>15778761135</v>
      </c>
      <c r="M293" s="4" t="str">
        <f t="shared" si="90"/>
        <v>隆林县</v>
      </c>
      <c r="N293" s="4" t="str">
        <f>"广西百色市隆林县新州镇那管村那独屯"</f>
        <v>广西百色市隆林县新州镇那管村那独屯</v>
      </c>
      <c r="O293" s="4" t="str">
        <f>"1985494009@qq.com"</f>
        <v>1985494009@qq.com</v>
      </c>
      <c r="P293" s="4">
        <f>""</f>
      </c>
      <c r="Q293" s="4" t="str">
        <f>"2017.07.01"</f>
        <v>2017.07.01</v>
      </c>
      <c r="R293" s="4" t="str">
        <f t="shared" si="98"/>
        <v>是</v>
      </c>
      <c r="S293" s="4" t="str">
        <f>"2:小学"</f>
        <v>2:小学</v>
      </c>
      <c r="T293" s="4" t="str">
        <f>"暂无"</f>
        <v>暂无</v>
      </c>
      <c r="U293" s="4" t="str">
        <f>"暂无"</f>
        <v>暂无</v>
      </c>
      <c r="V293" s="4" t="str">
        <f t="shared" si="87"/>
        <v>小学</v>
      </c>
      <c r="W293" s="4" t="str">
        <f t="shared" si="88"/>
        <v>102:语文</v>
      </c>
      <c r="X293" s="4" t="str">
        <f t="shared" si="91"/>
        <v>通过</v>
      </c>
    </row>
    <row r="294" spans="1:24" s="1" customFormat="1" ht="71.25">
      <c r="A294" s="4" t="str">
        <f>"114"</f>
        <v>114</v>
      </c>
      <c r="B294" s="4" t="str">
        <f>"梁芯"</f>
        <v>梁芯</v>
      </c>
      <c r="C294" s="4" t="str">
        <f t="shared" si="97"/>
        <v>女        </v>
      </c>
      <c r="D294" s="4" t="str">
        <f>"汉族"</f>
        <v>汉族</v>
      </c>
      <c r="E294" s="4" t="str">
        <f>"云南陆良"</f>
        <v>云南陆良</v>
      </c>
      <c r="F294" s="4" t="str">
        <f>"1995年07月"</f>
        <v>1995年07月</v>
      </c>
      <c r="G294" s="4" t="str">
        <f>"共青团员"</f>
        <v>共青团员</v>
      </c>
      <c r="H294" s="4" t="str">
        <f>"530322199507011024"</f>
        <v>530322199507011024</v>
      </c>
      <c r="I294" s="4" t="str">
        <f>"丽江师范高等专科学校思想政治教育"</f>
        <v>丽江师范高等专科学校思想政治教育</v>
      </c>
      <c r="J294" s="4" t="str">
        <f>"思想政治教育"</f>
        <v>思想政治教育</v>
      </c>
      <c r="K294" s="4" t="str">
        <f>"专科无学位"</f>
        <v>专科无学位</v>
      </c>
      <c r="L294" s="4" t="str">
        <f>"13769570596"</f>
        <v>13769570596</v>
      </c>
      <c r="M294" s="4" t="str">
        <f t="shared" si="90"/>
        <v>隆林县</v>
      </c>
      <c r="N294" s="4" t="str">
        <f>"云南省曲靖市陆良县三岔河镇棠梨村一社"</f>
        <v>云南省曲靖市陆良县三岔河镇棠梨村一社</v>
      </c>
      <c r="O294" s="4" t="str">
        <f>"1938846194@qq.com"</f>
        <v>1938846194@qq.com</v>
      </c>
      <c r="P294" s="4" t="str">
        <f>"2017.05.01"</f>
        <v>2017.05.01</v>
      </c>
      <c r="Q294" s="4" t="str">
        <f>"2017.07.01"</f>
        <v>2017.07.01</v>
      </c>
      <c r="R294" s="4" t="str">
        <f t="shared" si="98"/>
        <v>是</v>
      </c>
      <c r="S294" s="4" t="str">
        <f>"3:初级中学"</f>
        <v>3:初级中学</v>
      </c>
      <c r="T294" s="4" t="str">
        <f>"20175312432000978"</f>
        <v>20175312432000978</v>
      </c>
      <c r="U294" s="4" t="str">
        <f>"140151201706000177"</f>
        <v>140151201706000177</v>
      </c>
      <c r="V294" s="4" t="str">
        <f t="shared" si="87"/>
        <v>小学</v>
      </c>
      <c r="W294" s="4" t="str">
        <f t="shared" si="88"/>
        <v>102:语文</v>
      </c>
      <c r="X294" s="4" t="str">
        <f t="shared" si="91"/>
        <v>通过</v>
      </c>
    </row>
    <row r="295" spans="1:24" s="1" customFormat="1" ht="57">
      <c r="A295" s="4" t="str">
        <f>"115"</f>
        <v>115</v>
      </c>
      <c r="B295" s="4" t="str">
        <f>"徐扬凯"</f>
        <v>徐扬凯</v>
      </c>
      <c r="C295" s="4" t="str">
        <f t="shared" si="97"/>
        <v>女        </v>
      </c>
      <c r="D295" s="4" t="str">
        <f>"汉族"</f>
        <v>汉族</v>
      </c>
      <c r="E295" s="4" t="str">
        <f>"贵州兴仁"</f>
        <v>贵州兴仁</v>
      </c>
      <c r="F295" s="4" t="str">
        <f>"1990年03月"</f>
        <v>1990年03月</v>
      </c>
      <c r="G295" s="4" t="str">
        <f>"群众"</f>
        <v>群众</v>
      </c>
      <c r="H295" s="4" t="str">
        <f>"522322199003061642"</f>
        <v>522322199003061642</v>
      </c>
      <c r="I295" s="4" t="str">
        <f>"兴义民族师范学院思想政治教育"</f>
        <v>兴义民族师范学院思想政治教育</v>
      </c>
      <c r="J295" s="4" t="str">
        <f>"思想政治教育"</f>
        <v>思想政治教育</v>
      </c>
      <c r="K295" s="4" t="str">
        <f>"专科无学位"</f>
        <v>专科无学位</v>
      </c>
      <c r="L295" s="4" t="str">
        <f>"18744965695"</f>
        <v>18744965695</v>
      </c>
      <c r="M295" s="4" t="str">
        <f t="shared" si="90"/>
        <v>隆林县</v>
      </c>
      <c r="N295" s="4" t="str">
        <f>"贵州省兴仁县雨樟镇交乐村立山寨组"</f>
        <v>贵州省兴仁县雨樟镇交乐村立山寨组</v>
      </c>
      <c r="O295" s="4" t="str">
        <f>"2304803790@qq.com"</f>
        <v>2304803790@qq.com</v>
      </c>
      <c r="P295" s="4" t="str">
        <f>"2013.03.01"</f>
        <v>2013.03.01</v>
      </c>
      <c r="Q295" s="4" t="str">
        <f>"2013.07.01"</f>
        <v>2013.07.01</v>
      </c>
      <c r="R295" s="4" t="str">
        <f t="shared" si="98"/>
        <v>是</v>
      </c>
      <c r="S295" s="4" t="str">
        <f>"3:初级中学"</f>
        <v>3:初级中学</v>
      </c>
      <c r="T295" s="4" t="str">
        <f>"20135290132000308"</f>
        <v>20135290132000308</v>
      </c>
      <c r="U295" s="4" t="str">
        <f>"106661201306001644"</f>
        <v>106661201306001644</v>
      </c>
      <c r="V295" s="4" t="str">
        <f t="shared" si="87"/>
        <v>小学</v>
      </c>
      <c r="W295" s="4" t="str">
        <f t="shared" si="88"/>
        <v>102:语文</v>
      </c>
      <c r="X295" s="4" t="str">
        <f t="shared" si="91"/>
        <v>通过</v>
      </c>
    </row>
    <row r="296" spans="1:24" s="1" customFormat="1" ht="85.5">
      <c r="A296" s="4" t="str">
        <f>"116"</f>
        <v>116</v>
      </c>
      <c r="B296" s="4" t="str">
        <f>"杨润"</f>
        <v>杨润</v>
      </c>
      <c r="C296" s="4" t="str">
        <f t="shared" si="97"/>
        <v>女        </v>
      </c>
      <c r="D296" s="4" t="str">
        <f>"彝族"</f>
        <v>彝族</v>
      </c>
      <c r="E296" s="4" t="str">
        <f>"云南玉溪"</f>
        <v>云南玉溪</v>
      </c>
      <c r="F296" s="4" t="str">
        <f>"1993年01月"</f>
        <v>1993年01月</v>
      </c>
      <c r="G296" s="4" t="str">
        <f>"共青团员"</f>
        <v>共青团员</v>
      </c>
      <c r="H296" s="4" t="str">
        <f>"530424199301151425"</f>
        <v>530424199301151425</v>
      </c>
      <c r="I296" s="4" t="str">
        <f>"普洱学院语文教育"</f>
        <v>普洱学院语文教育</v>
      </c>
      <c r="J296" s="4" t="str">
        <f>"语文教育"</f>
        <v>语文教育</v>
      </c>
      <c r="K296" s="4" t="str">
        <f>"专科无学位"</f>
        <v>专科无学位</v>
      </c>
      <c r="L296" s="4" t="str">
        <f>"18287962085"</f>
        <v>18287962085</v>
      </c>
      <c r="M296" s="4" t="str">
        <f t="shared" si="90"/>
        <v>隆林县</v>
      </c>
      <c r="N296" s="4" t="str">
        <f>"云南省玉溪市华宁县宁州镇新城村委会卡寨村11-2号"</f>
        <v>云南省玉溪市华宁县宁州镇新城村委会卡寨村11-2号</v>
      </c>
      <c r="O296" s="4" t="str">
        <f>"1564989149@qq.com"</f>
        <v>1564989149@qq.com</v>
      </c>
      <c r="P296" s="4" t="str">
        <f>"2016.08.01"</f>
        <v>2016.08.01</v>
      </c>
      <c r="Q296" s="4" t="str">
        <f>"2016.07.01"</f>
        <v>2016.07.01</v>
      </c>
      <c r="R296" s="4" t="str">
        <f t="shared" si="98"/>
        <v>是</v>
      </c>
      <c r="S296" s="4" t="str">
        <f>"3:初级中学"</f>
        <v>3:初级中学</v>
      </c>
      <c r="T296" s="4" t="str">
        <f>"20165308332000462"</f>
        <v>20165308332000462</v>
      </c>
      <c r="U296" s="4" t="str">
        <f>"106851201606000830"</f>
        <v>106851201606000830</v>
      </c>
      <c r="V296" s="4" t="str">
        <f t="shared" si="87"/>
        <v>小学</v>
      </c>
      <c r="W296" s="4" t="str">
        <f t="shared" si="88"/>
        <v>102:语文</v>
      </c>
      <c r="X296" s="4" t="str">
        <f t="shared" si="91"/>
        <v>通过</v>
      </c>
    </row>
    <row r="297" spans="1:24" s="1" customFormat="1" ht="85.5">
      <c r="A297" s="4" t="str">
        <f>"117"</f>
        <v>117</v>
      </c>
      <c r="B297" s="4" t="str">
        <f>"卢婧"</f>
        <v>卢婧</v>
      </c>
      <c r="C297" s="4" t="str">
        <f t="shared" si="97"/>
        <v>女        </v>
      </c>
      <c r="D297" s="4" t="str">
        <f>"汉族"</f>
        <v>汉族</v>
      </c>
      <c r="E297" s="4" t="str">
        <f>"广西省百色市隆林县"</f>
        <v>广西省百色市隆林县</v>
      </c>
      <c r="F297" s="4" t="str">
        <f>"1995年11月"</f>
        <v>1995年11月</v>
      </c>
      <c r="G297" s="4" t="str">
        <f>"共青团员"</f>
        <v>共青团员</v>
      </c>
      <c r="H297" s="4" t="str">
        <f>"452631199511022329"</f>
        <v>452631199511022329</v>
      </c>
      <c r="I297" s="4" t="str">
        <f>"百色学院小学教育"</f>
        <v>百色学院小学教育</v>
      </c>
      <c r="J297" s="4" t="str">
        <f>"小学教育"</f>
        <v>小学教育</v>
      </c>
      <c r="K297" s="4" t="str">
        <f>"专科无学位"</f>
        <v>专科无学位</v>
      </c>
      <c r="L297" s="4" t="str">
        <f>"18278673377"</f>
        <v>18278673377</v>
      </c>
      <c r="M297" s="4" t="str">
        <f t="shared" si="90"/>
        <v>隆林县</v>
      </c>
      <c r="N297" s="4" t="str">
        <f>"广西省百色市隆林各族自治县天生桥镇祥播村新寨屯"</f>
        <v>广西省百色市隆林各族自治县天生桥镇祥播村新寨屯</v>
      </c>
      <c r="O297" s="4" t="str">
        <f>"1453127701@qq.com"</f>
        <v>1453127701@qq.com</v>
      </c>
      <c r="P297" s="4" t="str">
        <f>"2017.03.01"</f>
        <v>2017.03.01</v>
      </c>
      <c r="Q297" s="4" t="str">
        <f>"2017.06.01"</f>
        <v>2017.06.01</v>
      </c>
      <c r="R297" s="4" t="str">
        <f t="shared" si="98"/>
        <v>是</v>
      </c>
      <c r="S297" s="4" t="str">
        <f>"2:小学"</f>
        <v>2:小学</v>
      </c>
      <c r="T297" s="4" t="str">
        <f>"无"</f>
        <v>无</v>
      </c>
      <c r="U297" s="4" t="str">
        <f>"无"</f>
        <v>无</v>
      </c>
      <c r="V297" s="4" t="str">
        <f t="shared" si="87"/>
        <v>小学</v>
      </c>
      <c r="W297" s="4" t="str">
        <f t="shared" si="88"/>
        <v>102:语文</v>
      </c>
      <c r="X297" s="4" t="str">
        <f t="shared" si="91"/>
        <v>通过</v>
      </c>
    </row>
    <row r="298" spans="1:24" s="1" customFormat="1" ht="71.25">
      <c r="A298" s="4" t="str">
        <f>"1"</f>
        <v>1</v>
      </c>
      <c r="B298" s="4" t="str">
        <f>"黄云存"</f>
        <v>黄云存</v>
      </c>
      <c r="C298" s="4" t="str">
        <f>"女        "</f>
        <v>女        </v>
      </c>
      <c r="D298" s="4" t="str">
        <f>"壮族"</f>
        <v>壮族</v>
      </c>
      <c r="E298" s="4" t="str">
        <f>"广西省百色市隆林县"</f>
        <v>广西省百色市隆林县</v>
      </c>
      <c r="F298" s="4" t="str">
        <f>"1989年09月"</f>
        <v>1989年09月</v>
      </c>
      <c r="G298" s="4" t="str">
        <f>"群众"</f>
        <v>群众</v>
      </c>
      <c r="H298" s="4" t="str">
        <f>"452631198909192067"</f>
        <v>452631198909192067</v>
      </c>
      <c r="I298" s="4" t="str">
        <f>"梧州学院小学教育英语方向"</f>
        <v>梧州学院小学教育英语方向</v>
      </c>
      <c r="J298" s="4" t="str">
        <f>"小学教育英语方向"</f>
        <v>小学教育英语方向</v>
      </c>
      <c r="K298" s="4" t="str">
        <f>"本科学士"</f>
        <v>本科学士</v>
      </c>
      <c r="L298" s="4" t="str">
        <f>"15077699769"</f>
        <v>15077699769</v>
      </c>
      <c r="M298" s="4" t="str">
        <f t="shared" si="90"/>
        <v>隆林县</v>
      </c>
      <c r="N298" s="4" t="str">
        <f>"广西省百色市隆林县者浪乡那隆村那端屯"</f>
        <v>广西省百色市隆林县者浪乡那隆村那端屯</v>
      </c>
      <c r="O298" s="4" t="str">
        <f>"649996954@qq.com"</f>
        <v>649996954@qq.com</v>
      </c>
      <c r="P298" s="4" t="str">
        <f>"2012.07.01"</f>
        <v>2012.07.01</v>
      </c>
      <c r="Q298" s="4" t="str">
        <f>"2012.06.01"</f>
        <v>2012.06.01</v>
      </c>
      <c r="R298" s="4" t="str">
        <f t="shared" si="98"/>
        <v>是</v>
      </c>
      <c r="S298" s="4" t="str">
        <f>"2:小学"</f>
        <v>2:小学</v>
      </c>
      <c r="T298" s="4" t="str">
        <f>"20124504222000041"</f>
        <v>20124504222000041</v>
      </c>
      <c r="U298" s="4" t="str">
        <f>"113541201205000010"</f>
        <v>113541201205000010</v>
      </c>
      <c r="V298" s="4" t="str">
        <f t="shared" si="87"/>
        <v>小学</v>
      </c>
      <c r="W298" s="4" t="str">
        <f aca="true" t="shared" si="99" ref="W298:W361">"103:数学"</f>
        <v>103:数学</v>
      </c>
      <c r="X298" s="4" t="str">
        <f t="shared" si="91"/>
        <v>通过</v>
      </c>
    </row>
    <row r="299" spans="1:24" s="1" customFormat="1" ht="71.25">
      <c r="A299" s="4" t="str">
        <f>"2"</f>
        <v>2</v>
      </c>
      <c r="B299" s="4" t="str">
        <f>"刘天伦"</f>
        <v>刘天伦</v>
      </c>
      <c r="C299" s="4" t="str">
        <f>"男        "</f>
        <v>男        </v>
      </c>
      <c r="D299" s="4" t="str">
        <f>"汉族"</f>
        <v>汉族</v>
      </c>
      <c r="E299" s="4" t="str">
        <f>"贵州贞丰"</f>
        <v>贵州贞丰</v>
      </c>
      <c r="F299" s="4" t="str">
        <f>"1993年06月"</f>
        <v>1993年06月</v>
      </c>
      <c r="G299" s="4" t="str">
        <f aca="true" t="shared" si="100" ref="G299:G305">"共青团员"</f>
        <v>共青团员</v>
      </c>
      <c r="H299" s="4" t="str">
        <f>"522325199306081615"</f>
        <v>522325199306081615</v>
      </c>
      <c r="I299" s="4" t="str">
        <f>"兴义民族师范学院小学教育"</f>
        <v>兴义民族师范学院小学教育</v>
      </c>
      <c r="J299" s="4" t="str">
        <f>"小学教育"</f>
        <v>小学教育</v>
      </c>
      <c r="K299" s="4" t="str">
        <f>"本科学士"</f>
        <v>本科学士</v>
      </c>
      <c r="L299" s="4" t="str">
        <f>"18785938719"</f>
        <v>18785938719</v>
      </c>
      <c r="M299" s="4" t="str">
        <f t="shared" si="90"/>
        <v>隆林县</v>
      </c>
      <c r="N299" s="4" t="str">
        <f>"贵州省贞丰县龙场镇龙山村上棉坝组"</f>
        <v>贵州省贞丰县龙场镇龙山村上棉坝组</v>
      </c>
      <c r="O299" s="4" t="str">
        <f>"1670586066@qq.com"</f>
        <v>1670586066@qq.com</v>
      </c>
      <c r="P299" s="4" t="str">
        <f>"2017.05.01"</f>
        <v>2017.05.01</v>
      </c>
      <c r="Q299" s="4" t="str">
        <f>"2017.06.01"</f>
        <v>2017.06.01</v>
      </c>
      <c r="R299" s="4" t="str">
        <f t="shared" si="98"/>
        <v>是</v>
      </c>
      <c r="S299" s="4" t="str">
        <f>"2:小学"</f>
        <v>2:小学</v>
      </c>
      <c r="T299" s="4" t="str">
        <f>"2017届毕业生填暂无"</f>
        <v>2017届毕业生填暂无</v>
      </c>
      <c r="U299" s="4" t="str">
        <f>"2017届毕业生填暂无"</f>
        <v>2017届毕业生填暂无</v>
      </c>
      <c r="V299" s="4" t="str">
        <f t="shared" si="87"/>
        <v>小学</v>
      </c>
      <c r="W299" s="4" t="str">
        <f t="shared" si="99"/>
        <v>103:数学</v>
      </c>
      <c r="X299" s="4" t="str">
        <f t="shared" si="91"/>
        <v>通过</v>
      </c>
    </row>
    <row r="300" spans="1:24" s="1" customFormat="1" ht="71.25">
      <c r="A300" s="4" t="str">
        <f>"3"</f>
        <v>3</v>
      </c>
      <c r="B300" s="4" t="str">
        <f>"岑昌文"</f>
        <v>岑昌文</v>
      </c>
      <c r="C300" s="4" t="str">
        <f>"男        "</f>
        <v>男        </v>
      </c>
      <c r="D300" s="4" t="str">
        <f>"壮族"</f>
        <v>壮族</v>
      </c>
      <c r="E300" s="4" t="str">
        <f>"广西隆林县"</f>
        <v>广西隆林县</v>
      </c>
      <c r="F300" s="4" t="str">
        <f>"1992年05月"</f>
        <v>1992年05月</v>
      </c>
      <c r="G300" s="4" t="str">
        <f t="shared" si="100"/>
        <v>共青团员</v>
      </c>
      <c r="H300" s="4" t="str">
        <f>"452631199205062373"</f>
        <v>452631199205062373</v>
      </c>
      <c r="I300" s="4" t="str">
        <f>"百色学院小学教育"</f>
        <v>百色学院小学教育</v>
      </c>
      <c r="J300" s="4" t="str">
        <f>"小学教育"</f>
        <v>小学教育</v>
      </c>
      <c r="K300" s="4" t="str">
        <f>"本科学士"</f>
        <v>本科学士</v>
      </c>
      <c r="L300" s="4" t="str">
        <f>"18377612272"</f>
        <v>18377612272</v>
      </c>
      <c r="M300" s="4" t="str">
        <f t="shared" si="90"/>
        <v>隆林县</v>
      </c>
      <c r="N300" s="4" t="str">
        <f>"广西百色市隆林县天生桥镇小南国伯村坡陇屯"</f>
        <v>广西百色市隆林县天生桥镇小南国伯村坡陇屯</v>
      </c>
      <c r="O300" s="4" t="str">
        <f>"353523865@qq.com"</f>
        <v>353523865@qq.com</v>
      </c>
      <c r="P300" s="4" t="str">
        <f>"2016.09.01"</f>
        <v>2016.09.01</v>
      </c>
      <c r="Q300" s="4" t="str">
        <f>"2016.06.01"</f>
        <v>2016.06.01</v>
      </c>
      <c r="R300" s="4" t="str">
        <f t="shared" si="98"/>
        <v>是</v>
      </c>
      <c r="S300" s="4" t="str">
        <f>"2:小学"</f>
        <v>2:小学</v>
      </c>
      <c r="T300" s="4" t="str">
        <f>"20164580021000003"</f>
        <v>20164580021000003</v>
      </c>
      <c r="U300" s="4" t="str">
        <f>"106091201605000340"</f>
        <v>106091201605000340</v>
      </c>
      <c r="V300" s="4" t="str">
        <f t="shared" si="87"/>
        <v>小学</v>
      </c>
      <c r="W300" s="4" t="str">
        <f t="shared" si="99"/>
        <v>103:数学</v>
      </c>
      <c r="X300" s="4" t="str">
        <f t="shared" si="91"/>
        <v>通过</v>
      </c>
    </row>
    <row r="301" spans="1:24" s="1" customFormat="1" ht="71.25">
      <c r="A301" s="4" t="str">
        <f>"4"</f>
        <v>4</v>
      </c>
      <c r="B301" s="4" t="str">
        <f>"蒙廷意"</f>
        <v>蒙廷意</v>
      </c>
      <c r="C301" s="4" t="str">
        <f>"男        "</f>
        <v>男        </v>
      </c>
      <c r="D301" s="4" t="str">
        <f>"布依族"</f>
        <v>布依族</v>
      </c>
      <c r="E301" s="4" t="str">
        <f>"贵州省望谟县"</f>
        <v>贵州省望谟县</v>
      </c>
      <c r="F301" s="4" t="str">
        <f>"1995年06月"</f>
        <v>1995年06月</v>
      </c>
      <c r="G301" s="4" t="str">
        <f t="shared" si="100"/>
        <v>共青团员</v>
      </c>
      <c r="H301" s="4" t="str">
        <f>"522326199506250811"</f>
        <v>522326199506250811</v>
      </c>
      <c r="I301" s="4" t="str">
        <f>"广西师范大学漓江学院数学与应用数学"</f>
        <v>广西师范大学漓江学院数学与应用数学</v>
      </c>
      <c r="J301" s="4" t="str">
        <f>"数学与应用数学"</f>
        <v>数学与应用数学</v>
      </c>
      <c r="K301" s="4" t="str">
        <f>"本科学士"</f>
        <v>本科学士</v>
      </c>
      <c r="L301" s="4" t="str">
        <f>"15978052344"</f>
        <v>15978052344</v>
      </c>
      <c r="M301" s="4" t="str">
        <f t="shared" si="90"/>
        <v>隆林县</v>
      </c>
      <c r="N301" s="4" t="str">
        <f>"贵州省望谟县乐元镇巧赖村二组"</f>
        <v>贵州省望谟县乐元镇巧赖村二组</v>
      </c>
      <c r="O301" s="4" t="str">
        <f>"905204857@qq.com"</f>
        <v>905204857@qq.com</v>
      </c>
      <c r="P301" s="4">
        <f>""</f>
      </c>
      <c r="Q301" s="4" t="str">
        <f>"2017.07.01"</f>
        <v>2017.07.01</v>
      </c>
      <c r="R301" s="4" t="str">
        <f t="shared" si="98"/>
        <v>是</v>
      </c>
      <c r="S301" s="4" t="str">
        <f>"0:暂未取得"</f>
        <v>0:暂未取得</v>
      </c>
      <c r="T301" s="4" t="str">
        <f>"2017届毕业生填暂无"</f>
        <v>2017届毕业生填暂无</v>
      </c>
      <c r="U301" s="4" t="str">
        <f>"2017届毕业生填暂无"</f>
        <v>2017届毕业生填暂无</v>
      </c>
      <c r="V301" s="4" t="str">
        <f t="shared" si="87"/>
        <v>小学</v>
      </c>
      <c r="W301" s="4" t="str">
        <f t="shared" si="99"/>
        <v>103:数学</v>
      </c>
      <c r="X301" s="4" t="str">
        <f t="shared" si="91"/>
        <v>通过</v>
      </c>
    </row>
    <row r="302" spans="1:24" s="1" customFormat="1" ht="71.25">
      <c r="A302" s="4" t="str">
        <f>"5"</f>
        <v>5</v>
      </c>
      <c r="B302" s="4" t="str">
        <f>"王华"</f>
        <v>王华</v>
      </c>
      <c r="C302" s="4" t="str">
        <f>"男        "</f>
        <v>男        </v>
      </c>
      <c r="D302" s="4" t="str">
        <f>"苗族"</f>
        <v>苗族</v>
      </c>
      <c r="E302" s="4" t="str">
        <f>"广西隆林"</f>
        <v>广西隆林</v>
      </c>
      <c r="F302" s="4" t="str">
        <f>"1990年08月"</f>
        <v>1990年08月</v>
      </c>
      <c r="G302" s="4" t="str">
        <f t="shared" si="100"/>
        <v>共青团员</v>
      </c>
      <c r="H302" s="4" t="str">
        <f>"452631199008123659"</f>
        <v>452631199008123659</v>
      </c>
      <c r="I302" s="4" t="str">
        <f>"桂林师范高等专科学校化学教育"</f>
        <v>桂林师范高等专科学校化学教育</v>
      </c>
      <c r="J302" s="4" t="str">
        <f>"化学教育"</f>
        <v>化学教育</v>
      </c>
      <c r="K302" s="4" t="str">
        <f>"专科无学位"</f>
        <v>专科无学位</v>
      </c>
      <c r="L302" s="4" t="str">
        <f>"15678358571"</f>
        <v>15678358571</v>
      </c>
      <c r="M302" s="4" t="str">
        <f t="shared" si="90"/>
        <v>隆林县</v>
      </c>
      <c r="N302" s="4" t="str">
        <f>"广西百色市隆林县猪场乡那绍村马地社"</f>
        <v>广西百色市隆林县猪场乡那绍村马地社</v>
      </c>
      <c r="O302" s="4" t="str">
        <f>"2206550892@qq.com"</f>
        <v>2206550892@qq.com</v>
      </c>
      <c r="P302" s="4" t="str">
        <f>"2016.03.01"</f>
        <v>2016.03.01</v>
      </c>
      <c r="Q302" s="4" t="str">
        <f>"2016.07.01"</f>
        <v>2016.07.01</v>
      </c>
      <c r="R302" s="4" t="str">
        <f t="shared" si="98"/>
        <v>是</v>
      </c>
      <c r="S302" s="4" t="str">
        <f>"2:小学"</f>
        <v>2:小学</v>
      </c>
      <c r="T302" s="4" t="str">
        <f>"2017452007418"</f>
        <v>2017452007418</v>
      </c>
      <c r="U302" s="4" t="str">
        <f>"116711201606001124"</f>
        <v>116711201606001124</v>
      </c>
      <c r="V302" s="4" t="str">
        <f t="shared" si="87"/>
        <v>小学</v>
      </c>
      <c r="W302" s="4" t="str">
        <f t="shared" si="99"/>
        <v>103:数学</v>
      </c>
      <c r="X302" s="4" t="str">
        <f t="shared" si="91"/>
        <v>通过</v>
      </c>
    </row>
    <row r="303" spans="1:24" s="1" customFormat="1" ht="57">
      <c r="A303" s="4" t="str">
        <f>"6"</f>
        <v>6</v>
      </c>
      <c r="B303" s="4" t="str">
        <f>"林艳花"</f>
        <v>林艳花</v>
      </c>
      <c r="C303" s="4" t="str">
        <f>"女        "</f>
        <v>女        </v>
      </c>
      <c r="D303" s="4" t="str">
        <f>"壮族"</f>
        <v>壮族</v>
      </c>
      <c r="E303" s="4" t="str">
        <f>"广西百色"</f>
        <v>广西百色</v>
      </c>
      <c r="F303" s="4" t="str">
        <f>"1995年08月"</f>
        <v>1995年08月</v>
      </c>
      <c r="G303" s="4" t="str">
        <f t="shared" si="100"/>
        <v>共青团员</v>
      </c>
      <c r="H303" s="4" t="str">
        <f>"452631199508200569"</f>
        <v>452631199508200569</v>
      </c>
      <c r="I303" s="4" t="str">
        <f>"桂林师范高等专科学校文秘"</f>
        <v>桂林师范高等专科学校文秘</v>
      </c>
      <c r="J303" s="4" t="str">
        <f>"文秘"</f>
        <v>文秘</v>
      </c>
      <c r="K303" s="4" t="str">
        <f>"专科无学位"</f>
        <v>专科无学位</v>
      </c>
      <c r="L303" s="4" t="str">
        <f>"15977346258"</f>
        <v>15977346258</v>
      </c>
      <c r="M303" s="4" t="str">
        <f t="shared" si="90"/>
        <v>隆林县</v>
      </c>
      <c r="N303" s="4" t="str">
        <f>"广西隆林各族自治县沙梨乡"</f>
        <v>广西隆林各族自治县沙梨乡</v>
      </c>
      <c r="O303" s="4" t="str">
        <f>"1348069795@qq.com"</f>
        <v>1348069795@qq.com</v>
      </c>
      <c r="P303" s="4" t="str">
        <f>"2016.07.01"</f>
        <v>2016.07.01</v>
      </c>
      <c r="Q303" s="4" t="str">
        <f>"2016.06.01"</f>
        <v>2016.06.01</v>
      </c>
      <c r="R303" s="4" t="str">
        <f t="shared" si="98"/>
        <v>是</v>
      </c>
      <c r="S303" s="4" t="str">
        <f>"2:小学"</f>
        <v>2:小学</v>
      </c>
      <c r="T303" s="4" t="str">
        <f>"在办理"</f>
        <v>在办理</v>
      </c>
      <c r="U303" s="4" t="str">
        <f>"116711201606000490"</f>
        <v>116711201606000490</v>
      </c>
      <c r="V303" s="4" t="str">
        <f t="shared" si="87"/>
        <v>小学</v>
      </c>
      <c r="W303" s="4" t="str">
        <f t="shared" si="99"/>
        <v>103:数学</v>
      </c>
      <c r="X303" s="4" t="str">
        <f t="shared" si="91"/>
        <v>通过</v>
      </c>
    </row>
    <row r="304" spans="1:24" s="1" customFormat="1" ht="57">
      <c r="A304" s="4" t="str">
        <f>"7"</f>
        <v>7</v>
      </c>
      <c r="B304" s="4" t="str">
        <f>"桂保虎"</f>
        <v>桂保虎</v>
      </c>
      <c r="C304" s="4" t="str">
        <f aca="true" t="shared" si="101" ref="C304:C309">"男        "</f>
        <v>男        </v>
      </c>
      <c r="D304" s="4" t="str">
        <f>"汉族"</f>
        <v>汉族</v>
      </c>
      <c r="E304" s="4" t="str">
        <f>"云南文山丘北县"</f>
        <v>云南文山丘北县</v>
      </c>
      <c r="F304" s="4" t="str">
        <f>"1992年09月"</f>
        <v>1992年09月</v>
      </c>
      <c r="G304" s="4" t="str">
        <f t="shared" si="100"/>
        <v>共青团员</v>
      </c>
      <c r="H304" s="4" t="str">
        <f>"532626199209101113"</f>
        <v>532626199209101113</v>
      </c>
      <c r="I304" s="4" t="str">
        <f>"红河学院冶金工程"</f>
        <v>红河学院冶金工程</v>
      </c>
      <c r="J304" s="4" t="str">
        <f>"冶金工程"</f>
        <v>冶金工程</v>
      </c>
      <c r="K304" s="4" t="str">
        <f>"本科学士"</f>
        <v>本科学士</v>
      </c>
      <c r="L304" s="4" t="str">
        <f>"18708733401"</f>
        <v>18708733401</v>
      </c>
      <c r="M304" s="4" t="str">
        <f t="shared" si="90"/>
        <v>隆林县</v>
      </c>
      <c r="N304" s="4" t="str">
        <f>"云南省文山州丘北县树皮乡新街子村"</f>
        <v>云南省文山州丘北县树皮乡新街子村</v>
      </c>
      <c r="O304" s="4" t="str">
        <f>"472755070@qq.com"</f>
        <v>472755070@qq.com</v>
      </c>
      <c r="P304" s="4" t="str">
        <f>"2015.07.01"</f>
        <v>2015.07.01</v>
      </c>
      <c r="Q304" s="4" t="str">
        <f>"2015.07.01"</f>
        <v>2015.07.01</v>
      </c>
      <c r="R304" s="4" t="str">
        <f>"不是"</f>
        <v>不是</v>
      </c>
      <c r="S304" s="4" t="str">
        <f>"3:初级中学"</f>
        <v>3:初级中学</v>
      </c>
      <c r="T304" s="4" t="str">
        <f>"20165307931000040"</f>
        <v>20165307931000040</v>
      </c>
      <c r="U304" s="4" t="str">
        <f>"106871201505000450"</f>
        <v>106871201505000450</v>
      </c>
      <c r="V304" s="4" t="str">
        <f t="shared" si="87"/>
        <v>小学</v>
      </c>
      <c r="W304" s="4" t="str">
        <f t="shared" si="99"/>
        <v>103:数学</v>
      </c>
      <c r="X304" s="4" t="str">
        <f t="shared" si="91"/>
        <v>通过</v>
      </c>
    </row>
    <row r="305" spans="1:24" s="1" customFormat="1" ht="71.25">
      <c r="A305" s="4" t="str">
        <f>"8"</f>
        <v>8</v>
      </c>
      <c r="B305" s="4" t="str">
        <f>"熊泽福"</f>
        <v>熊泽福</v>
      </c>
      <c r="C305" s="4" t="str">
        <f t="shared" si="101"/>
        <v>男        </v>
      </c>
      <c r="D305" s="4" t="str">
        <f>"苗族"</f>
        <v>苗族</v>
      </c>
      <c r="E305" s="4" t="str">
        <f>"广西百色"</f>
        <v>广西百色</v>
      </c>
      <c r="F305" s="4" t="str">
        <f>"1992年11月"</f>
        <v>1992年11月</v>
      </c>
      <c r="G305" s="4" t="str">
        <f t="shared" si="100"/>
        <v>共青团员</v>
      </c>
      <c r="H305" s="4" t="str">
        <f>"452631199211013893"</f>
        <v>452631199211013893</v>
      </c>
      <c r="I305" s="4" t="str">
        <f>"广西师范大学电子信息工程"</f>
        <v>广西师范大学电子信息工程</v>
      </c>
      <c r="J305" s="4" t="str">
        <f>"电子信息工程"</f>
        <v>电子信息工程</v>
      </c>
      <c r="K305" s="4" t="str">
        <f>"本科学士"</f>
        <v>本科学士</v>
      </c>
      <c r="L305" s="4" t="str">
        <f>"15577331483"</f>
        <v>15577331483</v>
      </c>
      <c r="M305" s="4" t="str">
        <f t="shared" si="90"/>
        <v>隆林县</v>
      </c>
      <c r="N305" s="4" t="str">
        <f>"广西百色市隆林县蛇场乡新立村海子屯"</f>
        <v>广西百色市隆林县蛇场乡新立村海子屯</v>
      </c>
      <c r="O305" s="4" t="str">
        <f>"1362301042@qq.com"</f>
        <v>1362301042@qq.com</v>
      </c>
      <c r="P305" s="4">
        <f>""</f>
      </c>
      <c r="Q305" s="4" t="str">
        <f>"2017.06.01"</f>
        <v>2017.06.01</v>
      </c>
      <c r="R305" s="4" t="str">
        <f>"不是"</f>
        <v>不是</v>
      </c>
      <c r="S305" s="4" t="str">
        <f>"0:暂未取得"</f>
        <v>0:暂未取得</v>
      </c>
      <c r="T305" s="4" t="str">
        <f>"2017届毕业生填暂无"</f>
        <v>2017届毕业生填暂无</v>
      </c>
      <c r="U305" s="4" t="str">
        <f>"2017届毕业生填暂无"</f>
        <v>2017届毕业生填暂无</v>
      </c>
      <c r="V305" s="4" t="str">
        <f t="shared" si="87"/>
        <v>小学</v>
      </c>
      <c r="W305" s="4" t="str">
        <f t="shared" si="99"/>
        <v>103:数学</v>
      </c>
      <c r="X305" s="4" t="str">
        <f t="shared" si="91"/>
        <v>通过</v>
      </c>
    </row>
    <row r="306" spans="1:24" s="1" customFormat="1" ht="57">
      <c r="A306" s="4" t="str">
        <f>"9"</f>
        <v>9</v>
      </c>
      <c r="B306" s="4" t="str">
        <f>"梁大海"</f>
        <v>梁大海</v>
      </c>
      <c r="C306" s="4" t="str">
        <f t="shared" si="101"/>
        <v>男        </v>
      </c>
      <c r="D306" s="4" t="str">
        <f>"布依族"</f>
        <v>布依族</v>
      </c>
      <c r="E306" s="4" t="str">
        <f>"贵州省贞丰县"</f>
        <v>贵州省贞丰县</v>
      </c>
      <c r="F306" s="4" t="str">
        <f>"1991年05月"</f>
        <v>1991年05月</v>
      </c>
      <c r="G306" s="4" t="str">
        <f>"群众"</f>
        <v>群众</v>
      </c>
      <c r="H306" s="4" t="str">
        <f>"522325199105100031"</f>
        <v>522325199105100031</v>
      </c>
      <c r="I306" s="4" t="str">
        <f>"安顺学院综合理科教育"</f>
        <v>安顺学院综合理科教育</v>
      </c>
      <c r="J306" s="4" t="str">
        <f>"综合理科教育"</f>
        <v>综合理科教育</v>
      </c>
      <c r="K306" s="4" t="str">
        <f>"专科无学位"</f>
        <v>专科无学位</v>
      </c>
      <c r="L306" s="4" t="str">
        <f>"15685491788"</f>
        <v>15685491788</v>
      </c>
      <c r="M306" s="4" t="str">
        <f t="shared" si="90"/>
        <v>隆林县</v>
      </c>
      <c r="N306" s="4" t="str">
        <f>"贵州省贞丰县珉谷街道河堡村掛块组"</f>
        <v>贵州省贞丰县珉谷街道河堡村掛块组</v>
      </c>
      <c r="O306" s="4" t="str">
        <f>"601431904@qq.com"</f>
        <v>601431904@qq.com</v>
      </c>
      <c r="P306" s="4">
        <f>""</f>
      </c>
      <c r="Q306" s="4" t="str">
        <f>"2014.07.01"</f>
        <v>2014.07.01</v>
      </c>
      <c r="R306" s="4" t="str">
        <f>"是"</f>
        <v>是</v>
      </c>
      <c r="S306" s="4" t="str">
        <f>"3:初级中学"</f>
        <v>3:初级中学</v>
      </c>
      <c r="T306" s="4" t="str">
        <f>"20155290631000107"</f>
        <v>20155290631000107</v>
      </c>
      <c r="U306" s="4" t="str">
        <f>"106671201406000020"</f>
        <v>106671201406000020</v>
      </c>
      <c r="V306" s="4" t="str">
        <f t="shared" si="87"/>
        <v>小学</v>
      </c>
      <c r="W306" s="4" t="str">
        <f t="shared" si="99"/>
        <v>103:数学</v>
      </c>
      <c r="X306" s="4" t="str">
        <f t="shared" si="91"/>
        <v>通过</v>
      </c>
    </row>
    <row r="307" spans="1:24" s="1" customFormat="1" ht="71.25">
      <c r="A307" s="4" t="str">
        <f>"10"</f>
        <v>10</v>
      </c>
      <c r="B307" s="4" t="str">
        <f>"李武"</f>
        <v>李武</v>
      </c>
      <c r="C307" s="4" t="str">
        <f t="shared" si="101"/>
        <v>男        </v>
      </c>
      <c r="D307" s="4" t="str">
        <f>"彝族"</f>
        <v>彝族</v>
      </c>
      <c r="E307" s="4" t="str">
        <f>"云南富源"</f>
        <v>云南富源</v>
      </c>
      <c r="F307" s="4" t="str">
        <f>"1993年03月"</f>
        <v>1993年03月</v>
      </c>
      <c r="G307" s="4" t="str">
        <f>"中共党员"</f>
        <v>中共党员</v>
      </c>
      <c r="H307" s="4" t="str">
        <f>"530325199303291318"</f>
        <v>530325199303291318</v>
      </c>
      <c r="I307" s="4" t="str">
        <f>"曲靖师范学院教育技术学"</f>
        <v>曲靖师范学院教育技术学</v>
      </c>
      <c r="J307" s="4" t="str">
        <f>"教育技术学"</f>
        <v>教育技术学</v>
      </c>
      <c r="K307" s="4" t="str">
        <f>"本科学士"</f>
        <v>本科学士</v>
      </c>
      <c r="L307" s="4" t="str">
        <f>"15887457262"</f>
        <v>15887457262</v>
      </c>
      <c r="M307" s="4" t="str">
        <f t="shared" si="90"/>
        <v>隆林县</v>
      </c>
      <c r="N307" s="4" t="str">
        <f>"云南省曲靖市富源县富村镇水井村委会水井村"</f>
        <v>云南省曲靖市富源县富村镇水井村委会水井村</v>
      </c>
      <c r="O307" s="4" t="str">
        <f>"1824182604@qq.com"</f>
        <v>1824182604@qq.com</v>
      </c>
      <c r="P307" s="4">
        <f>""</f>
      </c>
      <c r="Q307" s="4" t="str">
        <f>"2015.07.01"</f>
        <v>2015.07.01</v>
      </c>
      <c r="R307" s="4" t="str">
        <f>"是"</f>
        <v>是</v>
      </c>
      <c r="S307" s="4" t="str">
        <f>"3:初级中学"</f>
        <v>3:初级中学</v>
      </c>
      <c r="T307" s="4" t="str">
        <f>"正在办理6月底拿到证书"</f>
        <v>正在办理6月底拿到证书</v>
      </c>
      <c r="U307" s="4" t="str">
        <f>"1068412015000821"</f>
        <v>1068412015000821</v>
      </c>
      <c r="V307" s="4" t="str">
        <f t="shared" si="87"/>
        <v>小学</v>
      </c>
      <c r="W307" s="4" t="str">
        <f t="shared" si="99"/>
        <v>103:数学</v>
      </c>
      <c r="X307" s="4" t="str">
        <f t="shared" si="91"/>
        <v>通过</v>
      </c>
    </row>
    <row r="308" spans="1:24" s="1" customFormat="1" ht="85.5">
      <c r="A308" s="4" t="str">
        <f>"11"</f>
        <v>11</v>
      </c>
      <c r="B308" s="4" t="str">
        <f>"王启华"</f>
        <v>王启华</v>
      </c>
      <c r="C308" s="4" t="str">
        <f t="shared" si="101"/>
        <v>男        </v>
      </c>
      <c r="D308" s="4" t="str">
        <f>"苗族"</f>
        <v>苗族</v>
      </c>
      <c r="E308" s="4" t="str">
        <f>"广西百色"</f>
        <v>广西百色</v>
      </c>
      <c r="F308" s="4" t="str">
        <f>"1992年04月"</f>
        <v>1992年04月</v>
      </c>
      <c r="G308" s="4" t="str">
        <f>"共青团员"</f>
        <v>共青团员</v>
      </c>
      <c r="H308" s="4" t="str">
        <f>"452631199204183974"</f>
        <v>452631199204183974</v>
      </c>
      <c r="I308" s="4" t="str">
        <f>"广西大学动物医学"</f>
        <v>广西大学动物医学</v>
      </c>
      <c r="J308" s="4" t="str">
        <f>"动物医学"</f>
        <v>动物医学</v>
      </c>
      <c r="K308" s="4" t="str">
        <f>"本科学士"</f>
        <v>本科学士</v>
      </c>
      <c r="L308" s="4" t="str">
        <f>"15777104489"</f>
        <v>15777104489</v>
      </c>
      <c r="M308" s="4" t="str">
        <f t="shared" si="90"/>
        <v>隆林县</v>
      </c>
      <c r="N308" s="4" t="str">
        <f>"广西百色市隆林各族自治县蛇场乡同党村大化屯"</f>
        <v>广西百色市隆林各族自治县蛇场乡同党村大化屯</v>
      </c>
      <c r="O308" s="4" t="str">
        <f>"1176597405@qq.com"</f>
        <v>1176597405@qq.com</v>
      </c>
      <c r="P308" s="4">
        <f>""</f>
      </c>
      <c r="Q308" s="4" t="str">
        <f>"2017.06.01"</f>
        <v>2017.06.01</v>
      </c>
      <c r="R308" s="4" t="str">
        <f>"不是"</f>
        <v>不是</v>
      </c>
      <c r="S308" s="4" t="str">
        <f>"0:暂未取得"</f>
        <v>0:暂未取得</v>
      </c>
      <c r="T308" s="4" t="str">
        <f>"暂无"</f>
        <v>暂无</v>
      </c>
      <c r="U308" s="4" t="str">
        <f>"暂无"</f>
        <v>暂无</v>
      </c>
      <c r="V308" s="4" t="str">
        <f t="shared" si="87"/>
        <v>小学</v>
      </c>
      <c r="W308" s="4" t="str">
        <f t="shared" si="99"/>
        <v>103:数学</v>
      </c>
      <c r="X308" s="4" t="str">
        <f t="shared" si="91"/>
        <v>通过</v>
      </c>
    </row>
    <row r="309" spans="1:24" s="1" customFormat="1" ht="85.5">
      <c r="A309" s="4" t="str">
        <f>"12"</f>
        <v>12</v>
      </c>
      <c r="B309" s="4" t="str">
        <f>"熊虎"</f>
        <v>熊虎</v>
      </c>
      <c r="C309" s="4" t="str">
        <f t="shared" si="101"/>
        <v>男        </v>
      </c>
      <c r="D309" s="4" t="str">
        <f>"苗族"</f>
        <v>苗族</v>
      </c>
      <c r="E309" s="4" t="str">
        <f>"云南文山富宁"</f>
        <v>云南文山富宁</v>
      </c>
      <c r="F309" s="4" t="str">
        <f>"1992年12月"</f>
        <v>1992年12月</v>
      </c>
      <c r="G309" s="4" t="str">
        <f>"中共党员"</f>
        <v>中共党员</v>
      </c>
      <c r="H309" s="4" t="str">
        <f>"532628199212080010"</f>
        <v>532628199212080010</v>
      </c>
      <c r="I309" s="4" t="str">
        <f>"普洱学院生物教育"</f>
        <v>普洱学院生物教育</v>
      </c>
      <c r="J309" s="4" t="str">
        <f>"生物教育"</f>
        <v>生物教育</v>
      </c>
      <c r="K309" s="4" t="str">
        <f>"专科无学位"</f>
        <v>专科无学位</v>
      </c>
      <c r="L309" s="4" t="str">
        <f>"15398767578"</f>
        <v>15398767578</v>
      </c>
      <c r="M309" s="4" t="str">
        <f t="shared" si="90"/>
        <v>隆林县</v>
      </c>
      <c r="N309" s="4" t="str">
        <f>"云南省文山州富宁县新华镇各甫村委会上平木村小组"</f>
        <v>云南省文山州富宁县新华镇各甫村委会上平木村小组</v>
      </c>
      <c r="O309" s="4" t="str">
        <f>"443529520@qq.com"</f>
        <v>443529520@qq.com</v>
      </c>
      <c r="P309" s="4" t="str">
        <f>"2015.03.01"</f>
        <v>2015.03.01</v>
      </c>
      <c r="Q309" s="4" t="str">
        <f>"2015.06.01"</f>
        <v>2015.06.01</v>
      </c>
      <c r="R309" s="4" t="str">
        <f>"是"</f>
        <v>是</v>
      </c>
      <c r="S309" s="4" t="str">
        <f>"3:初级中学"</f>
        <v>3:初级中学</v>
      </c>
      <c r="T309" s="4" t="str">
        <f>"201553083331000673"</f>
        <v>201553083331000673</v>
      </c>
      <c r="U309" s="4" t="str">
        <f>"106851201506000595"</f>
        <v>106851201506000595</v>
      </c>
      <c r="V309" s="4" t="str">
        <f aca="true" t="shared" si="102" ref="V309:V372">"小学"</f>
        <v>小学</v>
      </c>
      <c r="W309" s="4" t="str">
        <f t="shared" si="99"/>
        <v>103:数学</v>
      </c>
      <c r="X309" s="4" t="str">
        <f t="shared" si="91"/>
        <v>通过</v>
      </c>
    </row>
    <row r="310" spans="1:24" s="1" customFormat="1" ht="71.25">
      <c r="A310" s="4" t="str">
        <f>"13"</f>
        <v>13</v>
      </c>
      <c r="B310" s="4" t="str">
        <f>"宋印南"</f>
        <v>宋印南</v>
      </c>
      <c r="C310" s="4" t="str">
        <f>"女        "</f>
        <v>女        </v>
      </c>
      <c r="D310" s="4" t="str">
        <f>"汉族"</f>
        <v>汉族</v>
      </c>
      <c r="E310" s="4" t="str">
        <f>"广西隆林"</f>
        <v>广西隆林</v>
      </c>
      <c r="F310" s="4" t="str">
        <f>"1996年02月"</f>
        <v>1996年02月</v>
      </c>
      <c r="G310" s="4" t="str">
        <f aca="true" t="shared" si="103" ref="G310:G318">"共青团员"</f>
        <v>共青团员</v>
      </c>
      <c r="H310" s="4" t="str">
        <f>"45263119960201480X"</f>
        <v>45263119960201480X</v>
      </c>
      <c r="I310" s="4" t="str">
        <f>"广西师范大学环境设计"</f>
        <v>广西师范大学环境设计</v>
      </c>
      <c r="J310" s="4" t="str">
        <f>"环境设计"</f>
        <v>环境设计</v>
      </c>
      <c r="K310" s="4" t="str">
        <f>"本科学士"</f>
        <v>本科学士</v>
      </c>
      <c r="L310" s="4" t="str">
        <f>"18277601775"</f>
        <v>18277601775</v>
      </c>
      <c r="M310" s="4" t="str">
        <f t="shared" si="90"/>
        <v>隆林县</v>
      </c>
      <c r="N310" s="4" t="str">
        <f>"广西省百色市隆林县介廷乡"</f>
        <v>广西省百色市隆林县介廷乡</v>
      </c>
      <c r="O310" s="4" t="str">
        <f>"1229869114@qq.com"</f>
        <v>1229869114@qq.com</v>
      </c>
      <c r="P310" s="4">
        <f>""</f>
      </c>
      <c r="Q310" s="4" t="str">
        <f>"2017.07.01"</f>
        <v>2017.07.01</v>
      </c>
      <c r="R310" s="4" t="str">
        <f>"是"</f>
        <v>是</v>
      </c>
      <c r="S310" s="4" t="str">
        <f>"0:暂未取得"</f>
        <v>0:暂未取得</v>
      </c>
      <c r="T310" s="4" t="str">
        <f>"2017届毕业生填暂无"</f>
        <v>2017届毕业生填暂无</v>
      </c>
      <c r="U310" s="4" t="str">
        <f>"2017届毕业生填暂无"</f>
        <v>2017届毕业生填暂无</v>
      </c>
      <c r="V310" s="4" t="str">
        <f t="shared" si="102"/>
        <v>小学</v>
      </c>
      <c r="W310" s="4" t="str">
        <f t="shared" si="99"/>
        <v>103:数学</v>
      </c>
      <c r="X310" s="4" t="str">
        <f t="shared" si="91"/>
        <v>通过</v>
      </c>
    </row>
    <row r="311" spans="1:24" s="1" customFormat="1" ht="71.25">
      <c r="A311" s="4" t="str">
        <f>"14"</f>
        <v>14</v>
      </c>
      <c r="B311" s="4" t="str">
        <f>"田珺灵"</f>
        <v>田珺灵</v>
      </c>
      <c r="C311" s="4" t="str">
        <f>"男        "</f>
        <v>男        </v>
      </c>
      <c r="D311" s="4" t="str">
        <f>"壮族"</f>
        <v>壮族</v>
      </c>
      <c r="E311" s="4" t="str">
        <f>"广西隆林"</f>
        <v>广西隆林</v>
      </c>
      <c r="F311" s="4" t="str">
        <f>"1993年12月"</f>
        <v>1993年12月</v>
      </c>
      <c r="G311" s="4" t="str">
        <f t="shared" si="103"/>
        <v>共青团员</v>
      </c>
      <c r="H311" s="4" t="str">
        <f>"452631199312080016"</f>
        <v>452631199312080016</v>
      </c>
      <c r="I311" s="4" t="str">
        <f>"桂林理工大学博文管理学院土木工程"</f>
        <v>桂林理工大学博文管理学院土木工程</v>
      </c>
      <c r="J311" s="4" t="str">
        <f>"土木工程"</f>
        <v>土木工程</v>
      </c>
      <c r="K311" s="4" t="str">
        <f>"本科学士"</f>
        <v>本科学士</v>
      </c>
      <c r="L311" s="4" t="str">
        <f>"15277691295"</f>
        <v>15277691295</v>
      </c>
      <c r="M311" s="4" t="str">
        <f t="shared" si="90"/>
        <v>隆林县</v>
      </c>
      <c r="N311" s="4" t="str">
        <f>"广西百色市隆林县新州镇民生街241号"</f>
        <v>广西百色市隆林县新州镇民生街241号</v>
      </c>
      <c r="O311" s="4" t="str">
        <f>"2322991781@qq.com"</f>
        <v>2322991781@qq.com</v>
      </c>
      <c r="P311" s="4">
        <f>""</f>
      </c>
      <c r="Q311" s="4" t="str">
        <f>"2017.07.01"</f>
        <v>2017.07.01</v>
      </c>
      <c r="R311" s="4" t="str">
        <f>"不是"</f>
        <v>不是</v>
      </c>
      <c r="S311" s="4" t="str">
        <f>"0:暂未取得"</f>
        <v>0:暂未取得</v>
      </c>
      <c r="T311" s="4" t="str">
        <f>"暂无"</f>
        <v>暂无</v>
      </c>
      <c r="U311" s="4" t="str">
        <f>"暂无"</f>
        <v>暂无</v>
      </c>
      <c r="V311" s="4" t="str">
        <f t="shared" si="102"/>
        <v>小学</v>
      </c>
      <c r="W311" s="4" t="str">
        <f t="shared" si="99"/>
        <v>103:数学</v>
      </c>
      <c r="X311" s="4" t="str">
        <f t="shared" si="91"/>
        <v>通过</v>
      </c>
    </row>
    <row r="312" spans="1:24" s="1" customFormat="1" ht="71.25">
      <c r="A312" s="4" t="str">
        <f>"15"</f>
        <v>15</v>
      </c>
      <c r="B312" s="4" t="str">
        <f>"罗秀荣"</f>
        <v>罗秀荣</v>
      </c>
      <c r="C312" s="4" t="str">
        <f>"女        "</f>
        <v>女        </v>
      </c>
      <c r="D312" s="4" t="str">
        <f>"壮族"</f>
        <v>壮族</v>
      </c>
      <c r="E312" s="4" t="str">
        <f>"广西隆林"</f>
        <v>广西隆林</v>
      </c>
      <c r="F312" s="4" t="str">
        <f>"1993年12月"</f>
        <v>1993年12月</v>
      </c>
      <c r="G312" s="4" t="str">
        <f t="shared" si="103"/>
        <v>共青团员</v>
      </c>
      <c r="H312" s="4" t="str">
        <f>"452631199312100523"</f>
        <v>452631199312100523</v>
      </c>
      <c r="I312" s="4" t="str">
        <f>"广西教育学院会计"</f>
        <v>广西教育学院会计</v>
      </c>
      <c r="J312" s="4" t="str">
        <f>"会计"</f>
        <v>会计</v>
      </c>
      <c r="K312" s="4" t="str">
        <f>"专科无学位"</f>
        <v>专科无学位</v>
      </c>
      <c r="L312" s="4" t="str">
        <f>"15277193536"</f>
        <v>15277193536</v>
      </c>
      <c r="M312" s="4" t="str">
        <f t="shared" si="90"/>
        <v>隆林县</v>
      </c>
      <c r="N312" s="4" t="str">
        <f>"广西省百色市隆林县沙梨乡委敢村委敢屯"</f>
        <v>广西省百色市隆林县沙梨乡委敢村委敢屯</v>
      </c>
      <c r="O312" s="4" t="str">
        <f>"1978085341@qq.com"</f>
        <v>1978085341@qq.com</v>
      </c>
      <c r="P312" s="4">
        <f>""</f>
      </c>
      <c r="Q312" s="4" t="str">
        <f>"2017.06.01"</f>
        <v>2017.06.01</v>
      </c>
      <c r="R312" s="4" t="str">
        <f>"不是"</f>
        <v>不是</v>
      </c>
      <c r="S312" s="4" t="str">
        <f>"0:暂未取得"</f>
        <v>0:暂未取得</v>
      </c>
      <c r="T312" s="4" t="str">
        <f>"2017届毕业生填暂无"</f>
        <v>2017届毕业生填暂无</v>
      </c>
      <c r="U312" s="4" t="str">
        <f>"2017届毕业生填暂无"</f>
        <v>2017届毕业生填暂无</v>
      </c>
      <c r="V312" s="4" t="str">
        <f t="shared" si="102"/>
        <v>小学</v>
      </c>
      <c r="W312" s="4" t="str">
        <f t="shared" si="99"/>
        <v>103:数学</v>
      </c>
      <c r="X312" s="4" t="str">
        <f t="shared" si="91"/>
        <v>通过</v>
      </c>
    </row>
    <row r="313" spans="1:24" s="1" customFormat="1" ht="71.25">
      <c r="A313" s="4" t="str">
        <f>"16"</f>
        <v>16</v>
      </c>
      <c r="B313" s="4" t="str">
        <f>"王周梅"</f>
        <v>王周梅</v>
      </c>
      <c r="C313" s="4" t="str">
        <f>"女        "</f>
        <v>女        </v>
      </c>
      <c r="D313" s="4" t="str">
        <f>"壮族"</f>
        <v>壮族</v>
      </c>
      <c r="E313" s="4" t="str">
        <f>"广西隆林"</f>
        <v>广西隆林</v>
      </c>
      <c r="F313" s="4" t="str">
        <f>"1993年05月"</f>
        <v>1993年05月</v>
      </c>
      <c r="G313" s="4" t="str">
        <f t="shared" si="103"/>
        <v>共青团员</v>
      </c>
      <c r="H313" s="4" t="str">
        <f>"452631199305140527"</f>
        <v>452631199305140527</v>
      </c>
      <c r="I313" s="4" t="str">
        <f>"南宁地区教育学院思想政治教育"</f>
        <v>南宁地区教育学院思想政治教育</v>
      </c>
      <c r="J313" s="4" t="str">
        <f>"思想政治教育"</f>
        <v>思想政治教育</v>
      </c>
      <c r="K313" s="4" t="str">
        <f>"专科无学位"</f>
        <v>专科无学位</v>
      </c>
      <c r="L313" s="4" t="str">
        <f>"15077393067"</f>
        <v>15077393067</v>
      </c>
      <c r="M313" s="4" t="str">
        <f t="shared" si="90"/>
        <v>隆林县</v>
      </c>
      <c r="N313" s="4" t="str">
        <f>"广西省百色市隆林县沙梨乡14号"</f>
        <v>广西省百色市隆林县沙梨乡14号</v>
      </c>
      <c r="O313" s="4" t="str">
        <f>"1278123774@qq.com"</f>
        <v>1278123774@qq.com</v>
      </c>
      <c r="P313" s="4" t="str">
        <f>"2017.03.01"</f>
        <v>2017.03.01</v>
      </c>
      <c r="Q313" s="4" t="str">
        <f>"2017.06.01"</f>
        <v>2017.06.01</v>
      </c>
      <c r="R313" s="4" t="str">
        <f>"是"</f>
        <v>是</v>
      </c>
      <c r="S313" s="4" t="str">
        <f>"0:暂未取得"</f>
        <v>0:暂未取得</v>
      </c>
      <c r="T313" s="4" t="str">
        <f>"2017届毕业生填暂无"</f>
        <v>2017届毕业生填暂无</v>
      </c>
      <c r="U313" s="4" t="str">
        <f>"2017届毕业生填暂无"</f>
        <v>2017届毕业生填暂无</v>
      </c>
      <c r="V313" s="4" t="str">
        <f t="shared" si="102"/>
        <v>小学</v>
      </c>
      <c r="W313" s="4" t="str">
        <f t="shared" si="99"/>
        <v>103:数学</v>
      </c>
      <c r="X313" s="4" t="str">
        <f t="shared" si="91"/>
        <v>通过</v>
      </c>
    </row>
    <row r="314" spans="1:24" s="1" customFormat="1" ht="85.5">
      <c r="A314" s="4" t="str">
        <f>"17"</f>
        <v>17</v>
      </c>
      <c r="B314" s="4" t="str">
        <f>"李小友"</f>
        <v>李小友</v>
      </c>
      <c r="C314" s="4" t="str">
        <f>"男        "</f>
        <v>男        </v>
      </c>
      <c r="D314" s="4" t="str">
        <f>"汉族"</f>
        <v>汉族</v>
      </c>
      <c r="E314" s="4" t="str">
        <f>"云南曲靖"</f>
        <v>云南曲靖</v>
      </c>
      <c r="F314" s="4" t="str">
        <f>"1994年08月"</f>
        <v>1994年08月</v>
      </c>
      <c r="G314" s="4" t="str">
        <f t="shared" si="103"/>
        <v>共青团员</v>
      </c>
      <c r="H314" s="4" t="str">
        <f>"530324199408270330"</f>
        <v>530324199408270330</v>
      </c>
      <c r="I314" s="4" t="str">
        <f>"大理大学学前教育"</f>
        <v>大理大学学前教育</v>
      </c>
      <c r="J314" s="4" t="str">
        <f>"学前教育"</f>
        <v>学前教育</v>
      </c>
      <c r="K314" s="4" t="str">
        <f>"本科学士"</f>
        <v>本科学士</v>
      </c>
      <c r="L314" s="4" t="str">
        <f>"18313004364"</f>
        <v>18313004364</v>
      </c>
      <c r="M314" s="4" t="str">
        <f t="shared" si="90"/>
        <v>隆林县</v>
      </c>
      <c r="N314" s="4" t="str">
        <f>"云南省曲靖市罗平县罗雄镇大明村委会小补朵村"</f>
        <v>云南省曲靖市罗平县罗雄镇大明村委会小补朵村</v>
      </c>
      <c r="O314" s="4" t="str">
        <f>"1770929336@qq.com"</f>
        <v>1770929336@qq.com</v>
      </c>
      <c r="P314" s="4">
        <f>""</f>
      </c>
      <c r="Q314" s="4" t="str">
        <f>"2017.07.01"</f>
        <v>2017.07.01</v>
      </c>
      <c r="R314" s="4" t="str">
        <f>"是"</f>
        <v>是</v>
      </c>
      <c r="S314" s="4" t="str">
        <f>"0:暂未取得"</f>
        <v>0:暂未取得</v>
      </c>
      <c r="T314" s="4" t="str">
        <f>"无"</f>
        <v>无</v>
      </c>
      <c r="U314" s="4" t="str">
        <f>"无"</f>
        <v>无</v>
      </c>
      <c r="V314" s="4" t="str">
        <f t="shared" si="102"/>
        <v>小学</v>
      </c>
      <c r="W314" s="4" t="str">
        <f t="shared" si="99"/>
        <v>103:数学</v>
      </c>
      <c r="X314" s="4" t="str">
        <f t="shared" si="91"/>
        <v>通过</v>
      </c>
    </row>
    <row r="315" spans="1:24" s="1" customFormat="1" ht="71.25">
      <c r="A315" s="4" t="str">
        <f>"18"</f>
        <v>18</v>
      </c>
      <c r="B315" s="4" t="str">
        <f>"杨翠"</f>
        <v>杨翠</v>
      </c>
      <c r="C315" s="4" t="str">
        <f>"女        "</f>
        <v>女        </v>
      </c>
      <c r="D315" s="4" t="str">
        <f>"苗族"</f>
        <v>苗族</v>
      </c>
      <c r="E315" s="4" t="str">
        <f>"广西隆林县"</f>
        <v>广西隆林县</v>
      </c>
      <c r="F315" s="4" t="str">
        <f>"1991年04月"</f>
        <v>1991年04月</v>
      </c>
      <c r="G315" s="4" t="str">
        <f t="shared" si="103"/>
        <v>共青团员</v>
      </c>
      <c r="H315" s="4" t="str">
        <f>"452631199104213144"</f>
        <v>452631199104213144</v>
      </c>
      <c r="I315" s="4" t="str">
        <f>"广西幼儿师范高等专科学校学前教育"</f>
        <v>广西幼儿师范高等专科学校学前教育</v>
      </c>
      <c r="J315" s="4" t="str">
        <f>"学前教育"</f>
        <v>学前教育</v>
      </c>
      <c r="K315" s="4" t="str">
        <f>"本科无学位"</f>
        <v>本科无学位</v>
      </c>
      <c r="L315" s="4" t="str">
        <f>"15077659960"</f>
        <v>15077659960</v>
      </c>
      <c r="M315" s="4" t="str">
        <f t="shared" si="90"/>
        <v>隆林县</v>
      </c>
      <c r="N315" s="4" t="str">
        <f>"广西隆林各族自治县德峨乡八科村八科屯"</f>
        <v>广西隆林各族自治县德峨乡八科村八科屯</v>
      </c>
      <c r="O315" s="4" t="str">
        <f>"396292013@qq.com"</f>
        <v>396292013@qq.com</v>
      </c>
      <c r="P315" s="4" t="str">
        <f>"2016.09.01"</f>
        <v>2016.09.01</v>
      </c>
      <c r="Q315" s="4" t="str">
        <f>"2017.07.01"</f>
        <v>2017.07.01</v>
      </c>
      <c r="R315" s="4" t="str">
        <f>"是"</f>
        <v>是</v>
      </c>
      <c r="S315" s="4" t="str">
        <f>"2:小学"</f>
        <v>2:小学</v>
      </c>
      <c r="T315" s="4" t="str">
        <f>"暂无"</f>
        <v>暂无</v>
      </c>
      <c r="U315" s="4" t="str">
        <f>"暂无"</f>
        <v>暂无</v>
      </c>
      <c r="V315" s="4" t="str">
        <f t="shared" si="102"/>
        <v>小学</v>
      </c>
      <c r="W315" s="4" t="str">
        <f t="shared" si="99"/>
        <v>103:数学</v>
      </c>
      <c r="X315" s="4" t="str">
        <f t="shared" si="91"/>
        <v>通过</v>
      </c>
    </row>
    <row r="316" spans="1:24" s="1" customFormat="1" ht="42.75">
      <c r="A316" s="4" t="str">
        <f>"19"</f>
        <v>19</v>
      </c>
      <c r="B316" s="4" t="str">
        <f>"付国友"</f>
        <v>付国友</v>
      </c>
      <c r="C316" s="4" t="str">
        <f>"男        "</f>
        <v>男        </v>
      </c>
      <c r="D316" s="4" t="str">
        <f>"汉族"</f>
        <v>汉族</v>
      </c>
      <c r="E316" s="4" t="str">
        <f>"贵州省织金县"</f>
        <v>贵州省织金县</v>
      </c>
      <c r="F316" s="4" t="str">
        <f>"1990年10月"</f>
        <v>1990年10月</v>
      </c>
      <c r="G316" s="4" t="str">
        <f t="shared" si="103"/>
        <v>共青团员</v>
      </c>
      <c r="H316" s="4" t="str">
        <f>"522425199010150998"</f>
        <v>522425199010150998</v>
      </c>
      <c r="I316" s="4" t="str">
        <f>"贵阳学院化学"</f>
        <v>贵阳学院化学</v>
      </c>
      <c r="J316" s="4" t="str">
        <f>"化学"</f>
        <v>化学</v>
      </c>
      <c r="K316" s="4" t="str">
        <f>"本科学士"</f>
        <v>本科学士</v>
      </c>
      <c r="L316" s="4" t="str">
        <f>"18786766361"</f>
        <v>18786766361</v>
      </c>
      <c r="M316" s="4" t="str">
        <f t="shared" si="90"/>
        <v>隆林县</v>
      </c>
      <c r="N316" s="4" t="str">
        <f>"贵州省织金县琦陌乡中营村"</f>
        <v>贵州省织金县琦陌乡中营村</v>
      </c>
      <c r="O316" s="4" t="str">
        <f>"853920014@qq.com"</f>
        <v>853920014@qq.com</v>
      </c>
      <c r="P316" s="4">
        <f>""</f>
      </c>
      <c r="Q316" s="4" t="str">
        <f>"2017.07.01"</f>
        <v>2017.07.01</v>
      </c>
      <c r="R316" s="4" t="str">
        <f>"是"</f>
        <v>是</v>
      </c>
      <c r="S316" s="4" t="str">
        <f>"4:高级中学"</f>
        <v>4:高级中学</v>
      </c>
      <c r="T316" s="4" t="str">
        <f>"暂无"</f>
        <v>暂无</v>
      </c>
      <c r="U316" s="4" t="str">
        <f>"暂无"</f>
        <v>暂无</v>
      </c>
      <c r="V316" s="4" t="str">
        <f t="shared" si="102"/>
        <v>小学</v>
      </c>
      <c r="W316" s="4" t="str">
        <f t="shared" si="99"/>
        <v>103:数学</v>
      </c>
      <c r="X316" s="4" t="str">
        <f t="shared" si="91"/>
        <v>通过</v>
      </c>
    </row>
    <row r="317" spans="1:24" s="1" customFormat="1" ht="57">
      <c r="A317" s="4" t="str">
        <f>"20"</f>
        <v>20</v>
      </c>
      <c r="B317" s="4" t="str">
        <f>"张宏坚"</f>
        <v>张宏坚</v>
      </c>
      <c r="C317" s="4" t="str">
        <f>"男        "</f>
        <v>男        </v>
      </c>
      <c r="D317" s="4" t="str">
        <f>"汉族"</f>
        <v>汉族</v>
      </c>
      <c r="E317" s="4" t="str">
        <f>"广西隆林县"</f>
        <v>广西隆林县</v>
      </c>
      <c r="F317" s="4" t="str">
        <f>"1995年02月"</f>
        <v>1995年02月</v>
      </c>
      <c r="G317" s="4" t="str">
        <f t="shared" si="103"/>
        <v>共青团员</v>
      </c>
      <c r="H317" s="4" t="str">
        <f>"452631199502021770"</f>
        <v>452631199502021770</v>
      </c>
      <c r="I317" s="4" t="str">
        <f>"百色学院小学教育"</f>
        <v>百色学院小学教育</v>
      </c>
      <c r="J317" s="4" t="str">
        <f>"小学教育"</f>
        <v>小学教育</v>
      </c>
      <c r="K317" s="4" t="str">
        <f>"专科无学位"</f>
        <v>专科无学位</v>
      </c>
      <c r="L317" s="4" t="str">
        <f>"13367662946"</f>
        <v>13367662946</v>
      </c>
      <c r="M317" s="4" t="str">
        <f t="shared" si="90"/>
        <v>隆林县</v>
      </c>
      <c r="N317" s="4" t="str">
        <f>"广西隆林各族自治县者保乡"</f>
        <v>广西隆林各族自治县者保乡</v>
      </c>
      <c r="O317" s="4" t="str">
        <f>"1328921000@qq.com"</f>
        <v>1328921000@qq.com</v>
      </c>
      <c r="P317" s="4" t="str">
        <f>"2015.11.01"</f>
        <v>2015.11.01</v>
      </c>
      <c r="Q317" s="4" t="str">
        <f>"2015.07.01"</f>
        <v>2015.07.01</v>
      </c>
      <c r="R317" s="4" t="str">
        <f>"是"</f>
        <v>是</v>
      </c>
      <c r="S317" s="4" t="str">
        <f>"2:小学"</f>
        <v>2:小学</v>
      </c>
      <c r="T317" s="4" t="str">
        <f>"20164580521000062"</f>
        <v>20164580521000062</v>
      </c>
      <c r="U317" s="4" t="str">
        <f>"106091201506000636"</f>
        <v>106091201506000636</v>
      </c>
      <c r="V317" s="4" t="str">
        <f t="shared" si="102"/>
        <v>小学</v>
      </c>
      <c r="W317" s="4" t="str">
        <f t="shared" si="99"/>
        <v>103:数学</v>
      </c>
      <c r="X317" s="4" t="str">
        <f t="shared" si="91"/>
        <v>通过</v>
      </c>
    </row>
    <row r="318" spans="1:24" s="1" customFormat="1" ht="71.25">
      <c r="A318" s="4" t="str">
        <f>"21"</f>
        <v>21</v>
      </c>
      <c r="B318" s="4" t="str">
        <f>"邓佳黎"</f>
        <v>邓佳黎</v>
      </c>
      <c r="C318" s="4" t="str">
        <f>"女        "</f>
        <v>女        </v>
      </c>
      <c r="D318" s="4" t="str">
        <f>"壮族"</f>
        <v>壮族</v>
      </c>
      <c r="E318" s="4" t="str">
        <f>"隆林各族自治县"</f>
        <v>隆林各族自治县</v>
      </c>
      <c r="F318" s="4" t="str">
        <f>"1994年02月"</f>
        <v>1994年02月</v>
      </c>
      <c r="G318" s="4" t="str">
        <f t="shared" si="103"/>
        <v>共青团员</v>
      </c>
      <c r="H318" s="4" t="str">
        <f>"452631199402230022"</f>
        <v>452631199402230022</v>
      </c>
      <c r="I318" s="4" t="str">
        <f>"广西师范学院师园学院汉语言文学"</f>
        <v>广西师范学院师园学院汉语言文学</v>
      </c>
      <c r="J318" s="4" t="str">
        <f>"汉语言文学"</f>
        <v>汉语言文学</v>
      </c>
      <c r="K318" s="4" t="str">
        <f>"本科学士"</f>
        <v>本科学士</v>
      </c>
      <c r="L318" s="4" t="str">
        <f>"13299269716"</f>
        <v>13299269716</v>
      </c>
      <c r="M318" s="4" t="str">
        <f t="shared" si="90"/>
        <v>隆林县</v>
      </c>
      <c r="N318" s="4" t="str">
        <f>"广西百色隆林各族自治县民权社区民生街93号"</f>
        <v>广西百色隆林各族自治县民权社区民生街93号</v>
      </c>
      <c r="O318" s="4" t="str">
        <f>"393222241@qq.com"</f>
        <v>393222241@qq.com</v>
      </c>
      <c r="P318" s="4" t="str">
        <f>"2016.09.01"</f>
        <v>2016.09.01</v>
      </c>
      <c r="Q318" s="4" t="str">
        <f>"2016.06.01"</f>
        <v>2016.06.01</v>
      </c>
      <c r="R318" s="4" t="str">
        <f>"不是"</f>
        <v>不是</v>
      </c>
      <c r="S318" s="4" t="str">
        <f>"2:小学"</f>
        <v>2:小学</v>
      </c>
      <c r="T318" s="4" t="str">
        <f>"20164501422000311"</f>
        <v>20164501422000311</v>
      </c>
      <c r="U318" s="4" t="str">
        <f>"136421201605001201"</f>
        <v>136421201605001201</v>
      </c>
      <c r="V318" s="4" t="str">
        <f t="shared" si="102"/>
        <v>小学</v>
      </c>
      <c r="W318" s="4" t="str">
        <f t="shared" si="99"/>
        <v>103:数学</v>
      </c>
      <c r="X318" s="4" t="str">
        <f t="shared" si="91"/>
        <v>通过</v>
      </c>
    </row>
    <row r="319" spans="1:24" s="1" customFormat="1" ht="71.25">
      <c r="A319" s="4" t="str">
        <f>"22"</f>
        <v>22</v>
      </c>
      <c r="B319" s="4" t="str">
        <f>"张大芬"</f>
        <v>张大芬</v>
      </c>
      <c r="C319" s="4" t="str">
        <f>"女        "</f>
        <v>女        </v>
      </c>
      <c r="D319" s="4" t="str">
        <f>"汉族"</f>
        <v>汉族</v>
      </c>
      <c r="E319" s="4" t="str">
        <f>"贵州贞丰"</f>
        <v>贵州贞丰</v>
      </c>
      <c r="F319" s="4" t="str">
        <f>"1989年01月"</f>
        <v>1989年01月</v>
      </c>
      <c r="G319" s="4" t="str">
        <f>"中共党员"</f>
        <v>中共党员</v>
      </c>
      <c r="H319" s="4" t="str">
        <f>"522325198901013663"</f>
        <v>522325198901013663</v>
      </c>
      <c r="I319" s="4" t="str">
        <f>"井冈山大学生物医学工程"</f>
        <v>井冈山大学生物医学工程</v>
      </c>
      <c r="J319" s="4" t="str">
        <f>"生物医学工程"</f>
        <v>生物医学工程</v>
      </c>
      <c r="K319" s="4" t="str">
        <f>"本科学士"</f>
        <v>本科学士</v>
      </c>
      <c r="L319" s="4" t="str">
        <f>"15186365145"</f>
        <v>15186365145</v>
      </c>
      <c r="M319" s="4" t="str">
        <f t="shared" si="90"/>
        <v>隆林县</v>
      </c>
      <c r="N319" s="4" t="str">
        <f>"贵州省贞丰县平街乡大红岩村油榨房组"</f>
        <v>贵州省贞丰县平街乡大红岩村油榨房组</v>
      </c>
      <c r="O319" s="4" t="str">
        <f>"804670166@qq.com"</f>
        <v>804670166@qq.com</v>
      </c>
      <c r="P319" s="4" t="str">
        <f>"2014.08.01"</f>
        <v>2014.08.01</v>
      </c>
      <c r="Q319" s="4" t="str">
        <f>"2014.07.01"</f>
        <v>2014.07.01</v>
      </c>
      <c r="R319" s="4" t="str">
        <f>"不是"</f>
        <v>不是</v>
      </c>
      <c r="S319" s="4" t="str">
        <f>"3:初级中学"</f>
        <v>3:初级中学</v>
      </c>
      <c r="T319" s="4" t="str">
        <f>"20143671532000105"</f>
        <v>20143671532000105</v>
      </c>
      <c r="U319" s="4" t="str">
        <f>"104191201405981866"</f>
        <v>104191201405981866</v>
      </c>
      <c r="V319" s="4" t="str">
        <f t="shared" si="102"/>
        <v>小学</v>
      </c>
      <c r="W319" s="4" t="str">
        <f t="shared" si="99"/>
        <v>103:数学</v>
      </c>
      <c r="X319" s="4" t="str">
        <f t="shared" si="91"/>
        <v>通过</v>
      </c>
    </row>
    <row r="320" spans="1:24" s="1" customFormat="1" ht="71.25">
      <c r="A320" s="4" t="str">
        <f>"23"</f>
        <v>23</v>
      </c>
      <c r="B320" s="4" t="str">
        <f>"农艳丹"</f>
        <v>农艳丹</v>
      </c>
      <c r="C320" s="4" t="str">
        <f>"女        "</f>
        <v>女        </v>
      </c>
      <c r="D320" s="4" t="str">
        <f>"壮族"</f>
        <v>壮族</v>
      </c>
      <c r="E320" s="4" t="str">
        <f>"广西百色"</f>
        <v>广西百色</v>
      </c>
      <c r="F320" s="4" t="str">
        <f>"1995年01月"</f>
        <v>1995年01月</v>
      </c>
      <c r="G320" s="4" t="str">
        <f aca="true" t="shared" si="104" ref="G320:G330">"共青团员"</f>
        <v>共青团员</v>
      </c>
      <c r="H320" s="4" t="str">
        <f>"452631199501224568"</f>
        <v>452631199501224568</v>
      </c>
      <c r="I320" s="4" t="str">
        <f>"广西民族师范学院学前教育"</f>
        <v>广西民族师范学院学前教育</v>
      </c>
      <c r="J320" s="4" t="str">
        <f>"学前教育"</f>
        <v>学前教育</v>
      </c>
      <c r="K320" s="4" t="str">
        <f>"本科学士"</f>
        <v>本科学士</v>
      </c>
      <c r="L320" s="4" t="str">
        <f>"15507861990"</f>
        <v>15507861990</v>
      </c>
      <c r="M320" s="4" t="str">
        <f t="shared" si="90"/>
        <v>隆林县</v>
      </c>
      <c r="N320" s="4" t="str">
        <f>"广西省百色市隆林县岩茶乡卡白村"</f>
        <v>广西省百色市隆林县岩茶乡卡白村</v>
      </c>
      <c r="O320" s="4" t="str">
        <f>"1192515235@qq.com"</f>
        <v>1192515235@qq.com</v>
      </c>
      <c r="P320" s="4">
        <f>""</f>
      </c>
      <c r="Q320" s="4" t="str">
        <f>"2017.06.01"</f>
        <v>2017.06.01</v>
      </c>
      <c r="R320" s="4" t="str">
        <f>"是"</f>
        <v>是</v>
      </c>
      <c r="S320" s="4" t="str">
        <f>"1:幼儿园"</f>
        <v>1:幼儿园</v>
      </c>
      <c r="T320" s="4" t="str">
        <f>"2017届毕业生填暂无"</f>
        <v>2017届毕业生填暂无</v>
      </c>
      <c r="U320" s="4" t="str">
        <f>"2017届毕业生填暂无"</f>
        <v>2017届毕业生填暂无</v>
      </c>
      <c r="V320" s="4" t="str">
        <f t="shared" si="102"/>
        <v>小学</v>
      </c>
      <c r="W320" s="4" t="str">
        <f t="shared" si="99"/>
        <v>103:数学</v>
      </c>
      <c r="X320" s="4" t="str">
        <f t="shared" si="91"/>
        <v>通过</v>
      </c>
    </row>
    <row r="321" spans="1:24" s="1" customFormat="1" ht="85.5">
      <c r="A321" s="4" t="str">
        <f>"24"</f>
        <v>24</v>
      </c>
      <c r="B321" s="4" t="str">
        <f>"陈康"</f>
        <v>陈康</v>
      </c>
      <c r="C321" s="4" t="str">
        <f>"男        "</f>
        <v>男        </v>
      </c>
      <c r="D321" s="4" t="str">
        <f>"彝族"</f>
        <v>彝族</v>
      </c>
      <c r="E321" s="4" t="str">
        <f>"云南省曲靖市"</f>
        <v>云南省曲靖市</v>
      </c>
      <c r="F321" s="4" t="str">
        <f>"1988年07月"</f>
        <v>1988年07月</v>
      </c>
      <c r="G321" s="4" t="str">
        <f t="shared" si="104"/>
        <v>共青团员</v>
      </c>
      <c r="H321" s="4" t="str">
        <f>"532225198807061817"</f>
        <v>532225198807061817</v>
      </c>
      <c r="I321" s="4" t="str">
        <f>"曲靖师范学院小学教育理科"</f>
        <v>曲靖师范学院小学教育理科</v>
      </c>
      <c r="J321" s="4" t="str">
        <f>"小学教育理科"</f>
        <v>小学教育理科</v>
      </c>
      <c r="K321" s="4" t="str">
        <f>"专科无学位"</f>
        <v>专科无学位</v>
      </c>
      <c r="L321" s="4" t="str">
        <f>"15087478169"</f>
        <v>15087478169</v>
      </c>
      <c r="M321" s="4" t="str">
        <f t="shared" si="90"/>
        <v>隆林县</v>
      </c>
      <c r="N321" s="4" t="str">
        <f>"云南省曲靖市富源县十八连山镇茂夺村委会凹塘村"</f>
        <v>云南省曲靖市富源县十八连山镇茂夺村委会凹塘村</v>
      </c>
      <c r="O321" s="4" t="str">
        <f>"285741072@qq.com"</f>
        <v>285741072@qq.com</v>
      </c>
      <c r="P321" s="4" t="str">
        <f>"2009.07.01"</f>
        <v>2009.07.01</v>
      </c>
      <c r="Q321" s="4" t="str">
        <f>"2009.07.01"</f>
        <v>2009.07.01</v>
      </c>
      <c r="R321" s="4" t="str">
        <f>"是"</f>
        <v>是</v>
      </c>
      <c r="S321" s="4" t="str">
        <f>"2:小学"</f>
        <v>2:小学</v>
      </c>
      <c r="T321" s="4" t="str">
        <f>"20095303121000158"</f>
        <v>20095303121000158</v>
      </c>
      <c r="U321" s="4" t="str">
        <f>"106841200906000048"</f>
        <v>106841200906000048</v>
      </c>
      <c r="V321" s="4" t="str">
        <f t="shared" si="102"/>
        <v>小学</v>
      </c>
      <c r="W321" s="4" t="str">
        <f t="shared" si="99"/>
        <v>103:数学</v>
      </c>
      <c r="X321" s="4" t="str">
        <f t="shared" si="91"/>
        <v>通过</v>
      </c>
    </row>
    <row r="322" spans="1:24" s="1" customFormat="1" ht="71.25">
      <c r="A322" s="4" t="str">
        <f>"25"</f>
        <v>25</v>
      </c>
      <c r="B322" s="4" t="str">
        <f>"黄素暖"</f>
        <v>黄素暖</v>
      </c>
      <c r="C322" s="4" t="str">
        <f>"女        "</f>
        <v>女        </v>
      </c>
      <c r="D322" s="4" t="str">
        <f>"壮族"</f>
        <v>壮族</v>
      </c>
      <c r="E322" s="4" t="str">
        <f>"广西百色隆林县"</f>
        <v>广西百色隆林县</v>
      </c>
      <c r="F322" s="4" t="str">
        <f>"1989年11月"</f>
        <v>1989年11月</v>
      </c>
      <c r="G322" s="4" t="str">
        <f t="shared" si="104"/>
        <v>共青团员</v>
      </c>
      <c r="H322" s="4" t="str">
        <f>"452631198911150026"</f>
        <v>452631198911150026</v>
      </c>
      <c r="I322" s="4" t="str">
        <f>"广西民族大学会计学"</f>
        <v>广西民族大学会计学</v>
      </c>
      <c r="J322" s="4" t="str">
        <f>"会计学"</f>
        <v>会计学</v>
      </c>
      <c r="K322" s="4" t="str">
        <f aca="true" t="shared" si="105" ref="K322:K327">"本科学士"</f>
        <v>本科学士</v>
      </c>
      <c r="L322" s="4" t="str">
        <f>"18077679096"</f>
        <v>18077679096</v>
      </c>
      <c r="M322" s="4" t="str">
        <f t="shared" si="90"/>
        <v>隆林县</v>
      </c>
      <c r="N322" s="4" t="str">
        <f>"广西百色市隆林县新州镇民强村那谷一社"</f>
        <v>广西百色市隆林县新州镇民强村那谷一社</v>
      </c>
      <c r="O322" s="4" t="str">
        <f>"965134671@qq.com"</f>
        <v>965134671@qq.com</v>
      </c>
      <c r="P322" s="4" t="str">
        <f>"2011.09.01"</f>
        <v>2011.09.01</v>
      </c>
      <c r="Q322" s="4" t="str">
        <f>"2016.06.01"</f>
        <v>2016.06.01</v>
      </c>
      <c r="R322" s="4" t="str">
        <f>"不是"</f>
        <v>不是</v>
      </c>
      <c r="S322" s="4" t="str">
        <f>"2:小学"</f>
        <v>2:小学</v>
      </c>
      <c r="T322" s="4" t="str">
        <f>"2017452016358（认证中））"</f>
        <v>2017452016358（认证中））</v>
      </c>
      <c r="U322" s="4" t="str">
        <f>"106085201605161311"</f>
        <v>106085201605161311</v>
      </c>
      <c r="V322" s="4" t="str">
        <f t="shared" si="102"/>
        <v>小学</v>
      </c>
      <c r="W322" s="4" t="str">
        <f t="shared" si="99"/>
        <v>103:数学</v>
      </c>
      <c r="X322" s="4" t="str">
        <f t="shared" si="91"/>
        <v>通过</v>
      </c>
    </row>
    <row r="323" spans="1:24" s="1" customFormat="1" ht="99.75">
      <c r="A323" s="4" t="str">
        <f>"26"</f>
        <v>26</v>
      </c>
      <c r="B323" s="4" t="str">
        <f>"罗虹宇"</f>
        <v>罗虹宇</v>
      </c>
      <c r="C323" s="4" t="str">
        <f>"女        "</f>
        <v>女        </v>
      </c>
      <c r="D323" s="4" t="str">
        <f>"壮族"</f>
        <v>壮族</v>
      </c>
      <c r="E323" s="4" t="str">
        <f>"广西百色市"</f>
        <v>广西百色市</v>
      </c>
      <c r="F323" s="4" t="str">
        <f>"1994年04月"</f>
        <v>1994年04月</v>
      </c>
      <c r="G323" s="4" t="str">
        <f t="shared" si="104"/>
        <v>共青团员</v>
      </c>
      <c r="H323" s="4" t="str">
        <f>"452631199404011544"</f>
        <v>452631199404011544</v>
      </c>
      <c r="I323" s="4" t="str">
        <f>"广西师范学院师园学院学前教育"</f>
        <v>广西师范学院师园学院学前教育</v>
      </c>
      <c r="J323" s="4" t="str">
        <f>"学前教育"</f>
        <v>学前教育</v>
      </c>
      <c r="K323" s="4" t="str">
        <f t="shared" si="105"/>
        <v>本科学士</v>
      </c>
      <c r="L323" s="4" t="str">
        <f>"18377162093"</f>
        <v>18377162093</v>
      </c>
      <c r="M323" s="4" t="str">
        <f aca="true" t="shared" si="106" ref="M323:M385">"隆林县"</f>
        <v>隆林县</v>
      </c>
      <c r="N323" s="4" t="str">
        <f>"广西百色市隆林各族自治县新洲镇民生社区中环路060号"</f>
        <v>广西百色市隆林各族自治县新洲镇民生社区中环路060号</v>
      </c>
      <c r="O323" s="4" t="str">
        <f>"260587808@qq.com"</f>
        <v>260587808@qq.com</v>
      </c>
      <c r="P323" s="4" t="str">
        <f>"2016.09.01"</f>
        <v>2016.09.01</v>
      </c>
      <c r="Q323" s="4" t="str">
        <f>"2017.06.01"</f>
        <v>2017.06.01</v>
      </c>
      <c r="R323" s="4" t="str">
        <f>"是"</f>
        <v>是</v>
      </c>
      <c r="S323" s="4" t="str">
        <f>"1:幼儿园"</f>
        <v>1:幼儿园</v>
      </c>
      <c r="T323" s="4" t="str">
        <f>"2017届毕业生填暂无"</f>
        <v>2017届毕业生填暂无</v>
      </c>
      <c r="U323" s="4" t="str">
        <f>"2017届毕业生填暂无"</f>
        <v>2017届毕业生填暂无</v>
      </c>
      <c r="V323" s="4" t="str">
        <f t="shared" si="102"/>
        <v>小学</v>
      </c>
      <c r="W323" s="4" t="str">
        <f t="shared" si="99"/>
        <v>103:数学</v>
      </c>
      <c r="X323" s="4" t="str">
        <f aca="true" t="shared" si="107" ref="X323:X385">"通过"</f>
        <v>通过</v>
      </c>
    </row>
    <row r="324" spans="1:24" s="1" customFormat="1" ht="71.25">
      <c r="A324" s="4" t="str">
        <f>"27"</f>
        <v>27</v>
      </c>
      <c r="B324" s="4" t="str">
        <f>"苏丽丽"</f>
        <v>苏丽丽</v>
      </c>
      <c r="C324" s="4" t="str">
        <f>"女        "</f>
        <v>女        </v>
      </c>
      <c r="D324" s="4" t="str">
        <f>"壮族"</f>
        <v>壮族</v>
      </c>
      <c r="E324" s="4" t="str">
        <f>"广西隆林"</f>
        <v>广西隆林</v>
      </c>
      <c r="F324" s="4" t="str">
        <f>"1990年07月"</f>
        <v>1990年07月</v>
      </c>
      <c r="G324" s="4" t="str">
        <f t="shared" si="104"/>
        <v>共青团员</v>
      </c>
      <c r="H324" s="4" t="str">
        <f>"452631199007260045"</f>
        <v>452631199007260045</v>
      </c>
      <c r="I324" s="4" t="str">
        <f>"右江民族医学院护理"</f>
        <v>右江民族医学院护理</v>
      </c>
      <c r="J324" s="4" t="str">
        <f>"护理"</f>
        <v>护理</v>
      </c>
      <c r="K324" s="4" t="str">
        <f t="shared" si="105"/>
        <v>本科学士</v>
      </c>
      <c r="L324" s="4" t="str">
        <f>"13737606884"</f>
        <v>13737606884</v>
      </c>
      <c r="M324" s="4" t="str">
        <f t="shared" si="106"/>
        <v>隆林县</v>
      </c>
      <c r="N324" s="4" t="str">
        <f>"广西隆林各族自治县新州镇含山村腊岩屯"</f>
        <v>广西隆林各族自治县新州镇含山村腊岩屯</v>
      </c>
      <c r="O324" s="4" t="str">
        <f>"530517840@qq.com"</f>
        <v>530517840@qq.com</v>
      </c>
      <c r="P324" s="4" t="str">
        <f>"2013.06.01"</f>
        <v>2013.06.01</v>
      </c>
      <c r="Q324" s="4" t="str">
        <f>"2017.01.01"</f>
        <v>2017.01.01</v>
      </c>
      <c r="R324" s="4" t="str">
        <f>"不是"</f>
        <v>不是</v>
      </c>
      <c r="S324" s="4" t="str">
        <f>"2:小学"</f>
        <v>2:小学</v>
      </c>
      <c r="T324" s="4" t="str">
        <f>"2016452033211"</f>
        <v>2016452033211</v>
      </c>
      <c r="U324" s="4" t="str">
        <f>"105995201705001537"</f>
        <v>105995201705001537</v>
      </c>
      <c r="V324" s="4" t="str">
        <f t="shared" si="102"/>
        <v>小学</v>
      </c>
      <c r="W324" s="4" t="str">
        <f t="shared" si="99"/>
        <v>103:数学</v>
      </c>
      <c r="X324" s="4" t="str">
        <f t="shared" si="107"/>
        <v>通过</v>
      </c>
    </row>
    <row r="325" spans="1:24" s="1" customFormat="1" ht="42.75">
      <c r="A325" s="4" t="str">
        <f>"28"</f>
        <v>28</v>
      </c>
      <c r="B325" s="4" t="str">
        <f>"林登良"</f>
        <v>林登良</v>
      </c>
      <c r="C325" s="4" t="str">
        <f>"男        "</f>
        <v>男        </v>
      </c>
      <c r="D325" s="4" t="str">
        <f>"汉族"</f>
        <v>汉族</v>
      </c>
      <c r="E325" s="4" t="str">
        <f>"贵州省威宁县"</f>
        <v>贵州省威宁县</v>
      </c>
      <c r="F325" s="4" t="str">
        <f>"1992年02月"</f>
        <v>1992年02月</v>
      </c>
      <c r="G325" s="4" t="str">
        <f t="shared" si="104"/>
        <v>共青团员</v>
      </c>
      <c r="H325" s="4" t="str">
        <f>"522427199202043030"</f>
        <v>522427199202043030</v>
      </c>
      <c r="I325" s="4" t="str">
        <f>"贵州医科大学药事管理"</f>
        <v>贵州医科大学药事管理</v>
      </c>
      <c r="J325" s="4" t="str">
        <f>"药事管理"</f>
        <v>药事管理</v>
      </c>
      <c r="K325" s="4" t="str">
        <f t="shared" si="105"/>
        <v>本科学士</v>
      </c>
      <c r="L325" s="4" t="str">
        <f>"13087829175"</f>
        <v>13087829175</v>
      </c>
      <c r="M325" s="4" t="str">
        <f t="shared" si="106"/>
        <v>隆林县</v>
      </c>
      <c r="N325" s="4" t="str">
        <f>"贵州省威宁县"</f>
        <v>贵州省威宁县</v>
      </c>
      <c r="O325" s="4" t="str">
        <f>"1627541547@qq.com"</f>
        <v>1627541547@qq.com</v>
      </c>
      <c r="P325" s="4">
        <f>""</f>
      </c>
      <c r="Q325" s="4" t="str">
        <f>"2017.07.01"</f>
        <v>2017.07.01</v>
      </c>
      <c r="R325" s="4" t="str">
        <f>"不是"</f>
        <v>不是</v>
      </c>
      <c r="S325" s="4" t="str">
        <f>"3:初级中学"</f>
        <v>3:初级中学</v>
      </c>
      <c r="T325" s="4" t="str">
        <f>"正在注册"</f>
        <v>正在注册</v>
      </c>
      <c r="U325" s="4" t="str">
        <f>"无"</f>
        <v>无</v>
      </c>
      <c r="V325" s="4" t="str">
        <f t="shared" si="102"/>
        <v>小学</v>
      </c>
      <c r="W325" s="4" t="str">
        <f t="shared" si="99"/>
        <v>103:数学</v>
      </c>
      <c r="X325" s="4" t="str">
        <f t="shared" si="107"/>
        <v>通过</v>
      </c>
    </row>
    <row r="326" spans="1:24" s="1" customFormat="1" ht="85.5">
      <c r="A326" s="4" t="str">
        <f>"29"</f>
        <v>29</v>
      </c>
      <c r="B326" s="4" t="str">
        <f>"李星丽"</f>
        <v>李星丽</v>
      </c>
      <c r="C326" s="4" t="str">
        <f>"女        "</f>
        <v>女        </v>
      </c>
      <c r="D326" s="4" t="str">
        <f>"汉族"</f>
        <v>汉族</v>
      </c>
      <c r="E326" s="4" t="str">
        <f>"广西省百色市隆林各族"</f>
        <v>广西省百色市隆林各族</v>
      </c>
      <c r="F326" s="4" t="str">
        <f>"1994年09月"</f>
        <v>1994年09月</v>
      </c>
      <c r="G326" s="4" t="str">
        <f t="shared" si="104"/>
        <v>共青团员</v>
      </c>
      <c r="H326" s="4" t="str">
        <f>"452631199409171002"</f>
        <v>452631199409171002</v>
      </c>
      <c r="I326" s="4" t="str">
        <f>"钦州学院应用心理学"</f>
        <v>钦州学院应用心理学</v>
      </c>
      <c r="J326" s="4" t="str">
        <f>"应用心理学"</f>
        <v>应用心理学</v>
      </c>
      <c r="K326" s="4" t="str">
        <f t="shared" si="105"/>
        <v>本科学士</v>
      </c>
      <c r="L326" s="4" t="str">
        <f>"15778763600"</f>
        <v>15778763600</v>
      </c>
      <c r="M326" s="4" t="str">
        <f t="shared" si="106"/>
        <v>隆林县</v>
      </c>
      <c r="N326" s="4" t="str">
        <f>"广西省百色市隆林各族自治县隆或乡伟岭村三队005号"</f>
        <v>广西省百色市隆林各族自治县隆或乡伟岭村三队005号</v>
      </c>
      <c r="O326" s="4" t="str">
        <f>"2451252824@qq.com"</f>
        <v>2451252824@qq.com</v>
      </c>
      <c r="P326" s="4">
        <f>""</f>
      </c>
      <c r="Q326" s="4" t="str">
        <f>"2017.07.01"</f>
        <v>2017.07.01</v>
      </c>
      <c r="R326" s="4" t="str">
        <f>"不是"</f>
        <v>不是</v>
      </c>
      <c r="S326" s="4" t="str">
        <f>"0:暂未取得"</f>
        <v>0:暂未取得</v>
      </c>
      <c r="T326" s="4" t="str">
        <f>"暂无"</f>
        <v>暂无</v>
      </c>
      <c r="U326" s="4" t="str">
        <f>"暂无"</f>
        <v>暂无</v>
      </c>
      <c r="V326" s="4" t="str">
        <f t="shared" si="102"/>
        <v>小学</v>
      </c>
      <c r="W326" s="4" t="str">
        <f t="shared" si="99"/>
        <v>103:数学</v>
      </c>
      <c r="X326" s="4" t="str">
        <f t="shared" si="107"/>
        <v>通过</v>
      </c>
    </row>
    <row r="327" spans="1:24" s="1" customFormat="1" ht="71.25">
      <c r="A327" s="4" t="str">
        <f>"30"</f>
        <v>30</v>
      </c>
      <c r="B327" s="4" t="str">
        <f>"王芳"</f>
        <v>王芳</v>
      </c>
      <c r="C327" s="4" t="str">
        <f>"女        "</f>
        <v>女        </v>
      </c>
      <c r="D327" s="4" t="str">
        <f>"苗族"</f>
        <v>苗族</v>
      </c>
      <c r="E327" s="4" t="str">
        <f>"广西隆林县"</f>
        <v>广西隆林县</v>
      </c>
      <c r="F327" s="4" t="str">
        <f>"1994年01月"</f>
        <v>1994年01月</v>
      </c>
      <c r="G327" s="4" t="str">
        <f t="shared" si="104"/>
        <v>共青团员</v>
      </c>
      <c r="H327" s="4" t="str">
        <f>"452631199401033908"</f>
        <v>452631199401033908</v>
      </c>
      <c r="I327" s="4" t="str">
        <f>"广西民族大学金融学"</f>
        <v>广西民族大学金融学</v>
      </c>
      <c r="J327" s="4" t="str">
        <f>"金融学"</f>
        <v>金融学</v>
      </c>
      <c r="K327" s="4" t="str">
        <f t="shared" si="105"/>
        <v>本科学士</v>
      </c>
      <c r="L327" s="4" t="str">
        <f>"15578996738"</f>
        <v>15578996738</v>
      </c>
      <c r="M327" s="4" t="str">
        <f t="shared" si="106"/>
        <v>隆林县</v>
      </c>
      <c r="N327" s="4" t="str">
        <f>"广西百色市隆林县蛇场乡高山村麦冲上社"</f>
        <v>广西百色市隆林县蛇场乡高山村麦冲上社</v>
      </c>
      <c r="O327" s="4" t="str">
        <f>"2304943243@qq.com"</f>
        <v>2304943243@qq.com</v>
      </c>
      <c r="P327" s="4" t="str">
        <f>"2017.05.01"</f>
        <v>2017.05.01</v>
      </c>
      <c r="Q327" s="4" t="str">
        <f>"2017.06.01"</f>
        <v>2017.06.01</v>
      </c>
      <c r="R327" s="4" t="str">
        <f>"不是"</f>
        <v>不是</v>
      </c>
      <c r="S327" s="4" t="str">
        <f>"0:暂未取得"</f>
        <v>0:暂未取得</v>
      </c>
      <c r="T327" s="4" t="str">
        <f>"无"</f>
        <v>无</v>
      </c>
      <c r="U327" s="4" t="str">
        <f>"无"</f>
        <v>无</v>
      </c>
      <c r="V327" s="4" t="str">
        <f t="shared" si="102"/>
        <v>小学</v>
      </c>
      <c r="W327" s="4" t="str">
        <f t="shared" si="99"/>
        <v>103:数学</v>
      </c>
      <c r="X327" s="4" t="str">
        <f t="shared" si="107"/>
        <v>通过</v>
      </c>
    </row>
    <row r="328" spans="1:24" s="1" customFormat="1" ht="57">
      <c r="A328" s="4" t="str">
        <f>"31"</f>
        <v>31</v>
      </c>
      <c r="B328" s="4" t="str">
        <f>"黄家云"</f>
        <v>黄家云</v>
      </c>
      <c r="C328" s="4" t="str">
        <f>"男        "</f>
        <v>男        </v>
      </c>
      <c r="D328" s="4" t="str">
        <f>"壮族"</f>
        <v>壮族</v>
      </c>
      <c r="E328" s="4" t="str">
        <f>"广西马山"</f>
        <v>广西马山</v>
      </c>
      <c r="F328" s="4" t="str">
        <f>"1995年10月"</f>
        <v>1995年10月</v>
      </c>
      <c r="G328" s="4" t="str">
        <f t="shared" si="104"/>
        <v>共青团员</v>
      </c>
      <c r="H328" s="4" t="str">
        <f>"452127199510204217"</f>
        <v>452127199510204217</v>
      </c>
      <c r="I328" s="4" t="str">
        <f>"广西机电职业技术学院数控技术"</f>
        <v>广西机电职业技术学院数控技术</v>
      </c>
      <c r="J328" s="4" t="str">
        <f>"数控技术"</f>
        <v>数控技术</v>
      </c>
      <c r="K328" s="4" t="str">
        <f>"专科无学位"</f>
        <v>专科无学位</v>
      </c>
      <c r="L328" s="4" t="str">
        <f>"18178112925"</f>
        <v>18178112925</v>
      </c>
      <c r="M328" s="4" t="str">
        <f t="shared" si="106"/>
        <v>隆林县</v>
      </c>
      <c r="N328" s="4" t="str">
        <f>"广西马山县周鹿镇上荣村岜独屯60号"</f>
        <v>广西马山县周鹿镇上荣村岜独屯60号</v>
      </c>
      <c r="O328" s="4" t="str">
        <f>"944207032@QQ.com"</f>
        <v>944207032@QQ.com</v>
      </c>
      <c r="P328" s="4" t="str">
        <f>"2014.05.01"</f>
        <v>2014.05.01</v>
      </c>
      <c r="Q328" s="4" t="str">
        <f>"2017.06.01"</f>
        <v>2017.06.01</v>
      </c>
      <c r="R328" s="4" t="str">
        <f>"不是"</f>
        <v>不是</v>
      </c>
      <c r="S328" s="4" t="str">
        <f>"0:暂未取得"</f>
        <v>0:暂未取得</v>
      </c>
      <c r="T328" s="4" t="str">
        <f>"暂无"</f>
        <v>暂无</v>
      </c>
      <c r="U328" s="4" t="str">
        <f>"暂无"</f>
        <v>暂无</v>
      </c>
      <c r="V328" s="4" t="str">
        <f t="shared" si="102"/>
        <v>小学</v>
      </c>
      <c r="W328" s="4" t="str">
        <f t="shared" si="99"/>
        <v>103:数学</v>
      </c>
      <c r="X328" s="4" t="str">
        <f t="shared" si="107"/>
        <v>通过</v>
      </c>
    </row>
    <row r="329" spans="1:24" s="1" customFormat="1" ht="71.25">
      <c r="A329" s="4" t="str">
        <f>"32"</f>
        <v>32</v>
      </c>
      <c r="B329" s="4" t="str">
        <f>"罗明记"</f>
        <v>罗明记</v>
      </c>
      <c r="C329" s="4" t="str">
        <f>"男        "</f>
        <v>男        </v>
      </c>
      <c r="D329" s="4" t="str">
        <f>"苗族"</f>
        <v>苗族</v>
      </c>
      <c r="E329" s="4" t="str">
        <f>"广西隆林"</f>
        <v>广西隆林</v>
      </c>
      <c r="F329" s="4" t="str">
        <f>"1990年02月"</f>
        <v>1990年02月</v>
      </c>
      <c r="G329" s="4" t="str">
        <f t="shared" si="104"/>
        <v>共青团员</v>
      </c>
      <c r="H329" s="4" t="str">
        <f>"452631199002073478"</f>
        <v>452631199002073478</v>
      </c>
      <c r="I329" s="4" t="str">
        <f>"百色学院小学教育"</f>
        <v>百色学院小学教育</v>
      </c>
      <c r="J329" s="4" t="str">
        <f>"小学教育"</f>
        <v>小学教育</v>
      </c>
      <c r="K329" s="4" t="str">
        <f>"本科学士"</f>
        <v>本科学士</v>
      </c>
      <c r="L329" s="4" t="str">
        <f>"18778675928"</f>
        <v>18778675928</v>
      </c>
      <c r="M329" s="4" t="str">
        <f t="shared" si="106"/>
        <v>隆林县</v>
      </c>
      <c r="N329" s="4" t="str">
        <f>"广西百色市隆林县德峨镇水井村龙吓屯04号"</f>
        <v>广西百色市隆林县德峨镇水井村龙吓屯04号</v>
      </c>
      <c r="O329" s="4" t="str">
        <f>"1686632543@qq.com"</f>
        <v>1686632543@qq.com</v>
      </c>
      <c r="P329" s="4">
        <f>""</f>
      </c>
      <c r="Q329" s="4" t="str">
        <f>"2017.06.01"</f>
        <v>2017.06.01</v>
      </c>
      <c r="R329" s="4" t="str">
        <f>"是"</f>
        <v>是</v>
      </c>
      <c r="S329" s="4" t="str">
        <f>"2:小学"</f>
        <v>2:小学</v>
      </c>
      <c r="T329" s="4" t="str">
        <f>"2017届毕业生填暂无"</f>
        <v>2017届毕业生填暂无</v>
      </c>
      <c r="U329" s="4" t="str">
        <f>"2017届毕业生填暂无"</f>
        <v>2017届毕业生填暂无</v>
      </c>
      <c r="V329" s="4" t="str">
        <f t="shared" si="102"/>
        <v>小学</v>
      </c>
      <c r="W329" s="4" t="str">
        <f t="shared" si="99"/>
        <v>103:数学</v>
      </c>
      <c r="X329" s="4" t="str">
        <f t="shared" si="107"/>
        <v>通过</v>
      </c>
    </row>
    <row r="330" spans="1:24" s="1" customFormat="1" ht="71.25">
      <c r="A330" s="4" t="str">
        <f>"33"</f>
        <v>33</v>
      </c>
      <c r="B330" s="4" t="str">
        <f>"李永明"</f>
        <v>李永明</v>
      </c>
      <c r="C330" s="4" t="str">
        <f>"男        "</f>
        <v>男        </v>
      </c>
      <c r="D330" s="4" t="str">
        <f>"苗族"</f>
        <v>苗族</v>
      </c>
      <c r="E330" s="4" t="str">
        <f>"广西百色"</f>
        <v>广西百色</v>
      </c>
      <c r="F330" s="4" t="str">
        <f>"1993年02月"</f>
        <v>1993年02月</v>
      </c>
      <c r="G330" s="4" t="str">
        <f t="shared" si="104"/>
        <v>共青团员</v>
      </c>
      <c r="H330" s="4" t="str">
        <f>"452631199302093892"</f>
        <v>452631199302093892</v>
      </c>
      <c r="I330" s="4" t="str">
        <f>"广西科技师范学院数学教育"</f>
        <v>广西科技师范学院数学教育</v>
      </c>
      <c r="J330" s="4" t="str">
        <f>"数学教育"</f>
        <v>数学教育</v>
      </c>
      <c r="K330" s="4" t="str">
        <f>"专科无学位"</f>
        <v>专科无学位</v>
      </c>
      <c r="L330" s="4" t="str">
        <f>"18278692669"</f>
        <v>18278692669</v>
      </c>
      <c r="M330" s="4" t="str">
        <f t="shared" si="106"/>
        <v>隆林县</v>
      </c>
      <c r="N330" s="4" t="str">
        <f>"广西百色隆林县蛇场乡高山村麦冲屯"</f>
        <v>广西百色隆林县蛇场乡高山村麦冲屯</v>
      </c>
      <c r="O330" s="4" t="str">
        <f>"2384266329@qq.cm"</f>
        <v>2384266329@qq.cm</v>
      </c>
      <c r="P330" s="4" t="str">
        <f>"2016.10.01"</f>
        <v>2016.10.01</v>
      </c>
      <c r="Q330" s="4" t="str">
        <f>"2017.07.01"</f>
        <v>2017.07.01</v>
      </c>
      <c r="R330" s="4" t="str">
        <f>"是"</f>
        <v>是</v>
      </c>
      <c r="S330" s="4" t="str">
        <f>"0:暂未取得"</f>
        <v>0:暂未取得</v>
      </c>
      <c r="T330" s="4" t="str">
        <f>"2017届毕业生填暂无"</f>
        <v>2017届毕业生填暂无</v>
      </c>
      <c r="U330" s="4" t="str">
        <f>"2017届毕业生填暂无"</f>
        <v>2017届毕业生填暂无</v>
      </c>
      <c r="V330" s="4" t="str">
        <f t="shared" si="102"/>
        <v>小学</v>
      </c>
      <c r="W330" s="4" t="str">
        <f t="shared" si="99"/>
        <v>103:数学</v>
      </c>
      <c r="X330" s="4" t="str">
        <f t="shared" si="107"/>
        <v>通过</v>
      </c>
    </row>
    <row r="331" spans="1:24" s="1" customFormat="1" ht="57">
      <c r="A331" s="4" t="str">
        <f>"34"</f>
        <v>34</v>
      </c>
      <c r="B331" s="4" t="str">
        <f>"金红菜"</f>
        <v>金红菜</v>
      </c>
      <c r="C331" s="4" t="str">
        <f>"女        "</f>
        <v>女        </v>
      </c>
      <c r="D331" s="4" t="str">
        <f>"汉族"</f>
        <v>汉族</v>
      </c>
      <c r="E331" s="4" t="str">
        <f>"云南文山"</f>
        <v>云南文山</v>
      </c>
      <c r="F331" s="4" t="str">
        <f>"1992年07月"</f>
        <v>1992年07月</v>
      </c>
      <c r="G331" s="4" t="str">
        <f>"中共党员"</f>
        <v>中共党员</v>
      </c>
      <c r="H331" s="4" t="str">
        <f>"532626199207222325"</f>
        <v>532626199207222325</v>
      </c>
      <c r="I331" s="4" t="str">
        <f>"红河学院冶金工程"</f>
        <v>红河学院冶金工程</v>
      </c>
      <c r="J331" s="4" t="str">
        <f>"冶金工程"</f>
        <v>冶金工程</v>
      </c>
      <c r="K331" s="4" t="str">
        <f>"本科学士"</f>
        <v>本科学士</v>
      </c>
      <c r="L331" s="4" t="str">
        <f>"18313363741"</f>
        <v>18313363741</v>
      </c>
      <c r="M331" s="4" t="str">
        <f t="shared" si="106"/>
        <v>隆林县</v>
      </c>
      <c r="N331" s="4" t="str">
        <f>"云南省文山州丘北县双龙营镇平坦村"</f>
        <v>云南省文山州丘北县双龙营镇平坦村</v>
      </c>
      <c r="O331" s="4" t="str">
        <f>"1604691047@qq.com"</f>
        <v>1604691047@qq.com</v>
      </c>
      <c r="P331" s="4" t="str">
        <f>"2016.07.01"</f>
        <v>2016.07.01</v>
      </c>
      <c r="Q331" s="4" t="str">
        <f>"2016.07.01"</f>
        <v>2016.07.01</v>
      </c>
      <c r="R331" s="4" t="str">
        <f>"不是"</f>
        <v>不是</v>
      </c>
      <c r="S331" s="4" t="str">
        <f>"4:高级中学"</f>
        <v>4:高级中学</v>
      </c>
      <c r="T331" s="4" t="str">
        <f>"20165305942000190"</f>
        <v>20165305942000190</v>
      </c>
      <c r="U331" s="4" t="str">
        <f>"106871201605000768"</f>
        <v>106871201605000768</v>
      </c>
      <c r="V331" s="4" t="str">
        <f t="shared" si="102"/>
        <v>小学</v>
      </c>
      <c r="W331" s="4" t="str">
        <f t="shared" si="99"/>
        <v>103:数学</v>
      </c>
      <c r="X331" s="4" t="str">
        <f t="shared" si="107"/>
        <v>通过</v>
      </c>
    </row>
    <row r="332" spans="1:24" s="1" customFormat="1" ht="85.5">
      <c r="A332" s="4" t="str">
        <f>"35"</f>
        <v>35</v>
      </c>
      <c r="B332" s="4" t="str">
        <f>"迟碧玉"</f>
        <v>迟碧玉</v>
      </c>
      <c r="C332" s="4" t="str">
        <f>"女        "</f>
        <v>女        </v>
      </c>
      <c r="D332" s="4" t="str">
        <f>"汉族"</f>
        <v>汉族</v>
      </c>
      <c r="E332" s="4" t="str">
        <f>"云南彝良"</f>
        <v>云南彝良</v>
      </c>
      <c r="F332" s="4" t="str">
        <f>"1996年12月"</f>
        <v>1996年12月</v>
      </c>
      <c r="G332" s="4" t="str">
        <f>"共青团员"</f>
        <v>共青团员</v>
      </c>
      <c r="H332" s="4" t="str">
        <f>"532129199612121327"</f>
        <v>532129199612121327</v>
      </c>
      <c r="I332" s="4" t="str">
        <f>"昭通学院数学教育"</f>
        <v>昭通学院数学教育</v>
      </c>
      <c r="J332" s="4" t="str">
        <f>"数学教育"</f>
        <v>数学教育</v>
      </c>
      <c r="K332" s="4" t="str">
        <f>"专科无学位"</f>
        <v>专科无学位</v>
      </c>
      <c r="L332" s="4" t="str">
        <f>"18214214010"</f>
        <v>18214214010</v>
      </c>
      <c r="M332" s="4" t="str">
        <f t="shared" si="106"/>
        <v>隆林县</v>
      </c>
      <c r="N332" s="4" t="str">
        <f>"云南省昭通市彝良县奎香苗族彝族乡奎阳村南楼组6号"</f>
        <v>云南省昭通市彝良县奎香苗族彝族乡奎阳村南楼组6号</v>
      </c>
      <c r="O332" s="4" t="str">
        <f>"1790372976@qq.com"</f>
        <v>1790372976@qq.com</v>
      </c>
      <c r="P332" s="4">
        <f>""</f>
      </c>
      <c r="Q332" s="4" t="str">
        <f>"2017.06.01"</f>
        <v>2017.06.01</v>
      </c>
      <c r="R332" s="4" t="str">
        <f>"是"</f>
        <v>是</v>
      </c>
      <c r="S332" s="4" t="str">
        <f>"3:初级中学"</f>
        <v>3:初级中学</v>
      </c>
      <c r="T332" s="4" t="str">
        <f>"暂无"</f>
        <v>暂无</v>
      </c>
      <c r="U332" s="4" t="str">
        <f>"暂无"</f>
        <v>暂无</v>
      </c>
      <c r="V332" s="4" t="str">
        <f t="shared" si="102"/>
        <v>小学</v>
      </c>
      <c r="W332" s="4" t="str">
        <f t="shared" si="99"/>
        <v>103:数学</v>
      </c>
      <c r="X332" s="4" t="str">
        <f t="shared" si="107"/>
        <v>通过</v>
      </c>
    </row>
    <row r="333" spans="1:25" s="1" customFormat="1" ht="99.75">
      <c r="A333" s="4" t="str">
        <f>"36"</f>
        <v>36</v>
      </c>
      <c r="B333" s="4" t="str">
        <f>"陶兴龙"</f>
        <v>陶兴龙</v>
      </c>
      <c r="C333" s="4" t="str">
        <f>"男        "</f>
        <v>男        </v>
      </c>
      <c r="D333" s="4" t="str">
        <f>"苗族"</f>
        <v>苗族</v>
      </c>
      <c r="E333" s="4" t="str">
        <f>"贵州省贞丰县"</f>
        <v>贵州省贞丰县</v>
      </c>
      <c r="F333" s="4" t="str">
        <f>"1991年11月"</f>
        <v>1991年11月</v>
      </c>
      <c r="G333" s="4" t="str">
        <f>"群众"</f>
        <v>群众</v>
      </c>
      <c r="H333" s="4" t="str">
        <f>"522325199111221614"</f>
        <v>522325199111221614</v>
      </c>
      <c r="I333" s="4" t="str">
        <f>"贵州大学明德学院机械设计制造及其自动化专业"</f>
        <v>贵州大学明德学院机械设计制造及其自动化专业</v>
      </c>
      <c r="J333" s="4" t="str">
        <f>"机械设计制造及其自动化专业"</f>
        <v>机械设计制造及其自动化专业</v>
      </c>
      <c r="K333" s="4" t="str">
        <f>"本科学士"</f>
        <v>本科学士</v>
      </c>
      <c r="L333" s="4" t="str">
        <f>"15761686413"</f>
        <v>15761686413</v>
      </c>
      <c r="M333" s="4" t="str">
        <f t="shared" si="106"/>
        <v>隆林县</v>
      </c>
      <c r="N333" s="4" t="str">
        <f>"贵州省贞丰县龙场镇三河村岩脚组"</f>
        <v>贵州省贞丰县龙场镇三河村岩脚组</v>
      </c>
      <c r="O333" s="4" t="str">
        <f>"1475486089@qq.com"</f>
        <v>1475486089@qq.com</v>
      </c>
      <c r="P333" s="4" t="str">
        <f>"2016.04.01"</f>
        <v>2016.04.01</v>
      </c>
      <c r="Q333" s="4" t="str">
        <f>"2017.07.01"</f>
        <v>2017.07.01</v>
      </c>
      <c r="R333" s="4" t="str">
        <f>"不是"</f>
        <v>不是</v>
      </c>
      <c r="S333" s="4" t="str">
        <f>"0:暂未取得"</f>
        <v>0:暂未取得</v>
      </c>
      <c r="T333" s="4" t="str">
        <f>"2017届毕业生填暂无"</f>
        <v>2017届毕业生填暂无</v>
      </c>
      <c r="U333" s="4" t="str">
        <f>"2017届毕业生填暂无"</f>
        <v>2017届毕业生填暂无</v>
      </c>
      <c r="V333" s="4" t="str">
        <f t="shared" si="102"/>
        <v>小学</v>
      </c>
      <c r="W333" s="4" t="str">
        <f t="shared" si="99"/>
        <v>103:数学</v>
      </c>
      <c r="X333" s="4" t="str">
        <f t="shared" si="107"/>
        <v>通过</v>
      </c>
      <c r="Y333" s="1" t="s">
        <v>26</v>
      </c>
    </row>
    <row r="334" spans="1:24" s="1" customFormat="1" ht="71.25">
      <c r="A334" s="4" t="str">
        <f>"37"</f>
        <v>37</v>
      </c>
      <c r="B334" s="4" t="str">
        <f>"沈玉菊"</f>
        <v>沈玉菊</v>
      </c>
      <c r="C334" s="4" t="str">
        <f>"女        "</f>
        <v>女        </v>
      </c>
      <c r="D334" s="4" t="str">
        <f>"汉族"</f>
        <v>汉族</v>
      </c>
      <c r="E334" s="4" t="str">
        <f>"贵州省六盘水市"</f>
        <v>贵州省六盘水市</v>
      </c>
      <c r="F334" s="4" t="str">
        <f>"1993年06月"</f>
        <v>1993年06月</v>
      </c>
      <c r="G334" s="4" t="str">
        <f>"共青团员"</f>
        <v>共青团员</v>
      </c>
      <c r="H334" s="4" t="str">
        <f>"520202199306281228"</f>
        <v>520202199306281228</v>
      </c>
      <c r="I334" s="4" t="str">
        <f>"兴义民族师范学院小学教育"</f>
        <v>兴义民族师范学院小学教育</v>
      </c>
      <c r="J334" s="4" t="str">
        <f>"小学教育"</f>
        <v>小学教育</v>
      </c>
      <c r="K334" s="4" t="str">
        <f>"本科学士"</f>
        <v>本科学士</v>
      </c>
      <c r="L334" s="4" t="str">
        <f>"18785932575"</f>
        <v>18785932575</v>
      </c>
      <c r="M334" s="4" t="str">
        <f t="shared" si="106"/>
        <v>隆林县</v>
      </c>
      <c r="N334" s="4" t="str">
        <f>"贵州省盘县民主镇博地村六组"</f>
        <v>贵州省盘县民主镇博地村六组</v>
      </c>
      <c r="O334" s="4" t="str">
        <f>"553248357@qq.com"</f>
        <v>553248357@qq.com</v>
      </c>
      <c r="P334" s="4">
        <f>""</f>
      </c>
      <c r="Q334" s="4" t="str">
        <f>"2017.06.01"</f>
        <v>2017.06.01</v>
      </c>
      <c r="R334" s="4" t="str">
        <f>"是"</f>
        <v>是</v>
      </c>
      <c r="S334" s="4" t="str">
        <f>"2:小学"</f>
        <v>2:小学</v>
      </c>
      <c r="T334" s="4" t="str">
        <f>"2017届毕业生填暂无"</f>
        <v>2017届毕业生填暂无</v>
      </c>
      <c r="U334" s="4" t="str">
        <f>"2017届毕业生填暂无"</f>
        <v>2017届毕业生填暂无</v>
      </c>
      <c r="V334" s="4" t="str">
        <f t="shared" si="102"/>
        <v>小学</v>
      </c>
      <c r="W334" s="4" t="str">
        <f t="shared" si="99"/>
        <v>103:数学</v>
      </c>
      <c r="X334" s="4" t="str">
        <f t="shared" si="107"/>
        <v>通过</v>
      </c>
    </row>
    <row r="335" spans="1:24" s="1" customFormat="1" ht="57">
      <c r="A335" s="4" t="str">
        <f>"38"</f>
        <v>38</v>
      </c>
      <c r="B335" s="4" t="str">
        <f>"李金泽"</f>
        <v>李金泽</v>
      </c>
      <c r="C335" s="4" t="str">
        <f>"女        "</f>
        <v>女        </v>
      </c>
      <c r="D335" s="4" t="str">
        <f>"布依族"</f>
        <v>布依族</v>
      </c>
      <c r="E335" s="4" t="str">
        <f>"贵州贞丰"</f>
        <v>贵州贞丰</v>
      </c>
      <c r="F335" s="4" t="str">
        <f>"1992年10月"</f>
        <v>1992年10月</v>
      </c>
      <c r="G335" s="4" t="str">
        <f>"群众"</f>
        <v>群众</v>
      </c>
      <c r="H335" s="4" t="str">
        <f>"52232519921018402X"</f>
        <v>52232519921018402X</v>
      </c>
      <c r="I335" s="4" t="str">
        <f>"贵州师范大学化学教育"</f>
        <v>贵州师范大学化学教育</v>
      </c>
      <c r="J335" s="4" t="str">
        <f>"化学教育"</f>
        <v>化学教育</v>
      </c>
      <c r="K335" s="4" t="str">
        <f>"本科学士"</f>
        <v>本科学士</v>
      </c>
      <c r="L335" s="4" t="str">
        <f>"18208644515"</f>
        <v>18208644515</v>
      </c>
      <c r="M335" s="4" t="str">
        <f t="shared" si="106"/>
        <v>隆林县</v>
      </c>
      <c r="N335" s="4" t="str">
        <f>"贵州省贞丰县小屯乡米冲村下木柱组"</f>
        <v>贵州省贞丰县小屯乡米冲村下木柱组</v>
      </c>
      <c r="O335" s="4" t="str">
        <f>"923780760@qq.com"</f>
        <v>923780760@qq.com</v>
      </c>
      <c r="P335" s="4" t="str">
        <f>"2014.07.01"</f>
        <v>2014.07.01</v>
      </c>
      <c r="Q335" s="4" t="str">
        <f>"2014.12.01"</f>
        <v>2014.12.01</v>
      </c>
      <c r="R335" s="4" t="str">
        <f>"是"</f>
        <v>是</v>
      </c>
      <c r="S335" s="4" t="str">
        <f>"3:初级中学"</f>
        <v>3:初级中学</v>
      </c>
      <c r="T335" s="4" t="str">
        <f>"20145290132000082"</f>
        <v>20145290132000082</v>
      </c>
      <c r="U335" s="4" t="str">
        <f>"65522270121004440"</f>
        <v>65522270121004440</v>
      </c>
      <c r="V335" s="4" t="str">
        <f t="shared" si="102"/>
        <v>小学</v>
      </c>
      <c r="W335" s="4" t="str">
        <f t="shared" si="99"/>
        <v>103:数学</v>
      </c>
      <c r="X335" s="4" t="str">
        <f t="shared" si="107"/>
        <v>通过</v>
      </c>
    </row>
    <row r="336" spans="1:24" s="1" customFormat="1" ht="71.25">
      <c r="A336" s="4" t="str">
        <f>"39"</f>
        <v>39</v>
      </c>
      <c r="B336" s="4" t="str">
        <f>"周世蓉"</f>
        <v>周世蓉</v>
      </c>
      <c r="C336" s="4" t="str">
        <f>"女        "</f>
        <v>女        </v>
      </c>
      <c r="D336" s="4" t="str">
        <f>"汉族"</f>
        <v>汉族</v>
      </c>
      <c r="E336" s="4" t="str">
        <f>"云南省昭通市"</f>
        <v>云南省昭通市</v>
      </c>
      <c r="F336" s="4" t="str">
        <f>"1993年07月"</f>
        <v>1993年07月</v>
      </c>
      <c r="G336" s="4" t="str">
        <f>"共青团员"</f>
        <v>共青团员</v>
      </c>
      <c r="H336" s="4" t="str">
        <f>"532122199307020648"</f>
        <v>532122199307020648</v>
      </c>
      <c r="I336" s="4" t="str">
        <f>"德宏师范高等专科学校生物教育"</f>
        <v>德宏师范高等专科学校生物教育</v>
      </c>
      <c r="J336" s="4" t="str">
        <f>"生物教育"</f>
        <v>生物教育</v>
      </c>
      <c r="K336" s="4" t="str">
        <f>"专科无学位"</f>
        <v>专科无学位</v>
      </c>
      <c r="L336" s="4" t="str">
        <f>"13578249733"</f>
        <v>13578249733</v>
      </c>
      <c r="M336" s="4" t="str">
        <f t="shared" si="106"/>
        <v>隆林县</v>
      </c>
      <c r="N336" s="4" t="str">
        <f>"云南省昭通市鲁甸县茨院乡沿闸村十九社65号"</f>
        <v>云南省昭通市鲁甸县茨院乡沿闸村十九社65号</v>
      </c>
      <c r="O336" s="4" t="str">
        <f>"2370388428@qq.com"</f>
        <v>2370388428@qq.com</v>
      </c>
      <c r="P336" s="4">
        <f>""</f>
      </c>
      <c r="Q336" s="4" t="str">
        <f>"2017.07.01"</f>
        <v>2017.07.01</v>
      </c>
      <c r="R336" s="4" t="str">
        <f>"是"</f>
        <v>是</v>
      </c>
      <c r="S336" s="4" t="str">
        <f>"3:初级中学"</f>
        <v>3:初级中学</v>
      </c>
      <c r="T336" s="4" t="str">
        <f>"2017届毕业生填暂无"</f>
        <v>2017届毕业生填暂无</v>
      </c>
      <c r="U336" s="4" t="str">
        <f>"2017届毕业生填暂无"</f>
        <v>2017届毕业生填暂无</v>
      </c>
      <c r="V336" s="4" t="str">
        <f t="shared" si="102"/>
        <v>小学</v>
      </c>
      <c r="W336" s="4" t="str">
        <f t="shared" si="99"/>
        <v>103:数学</v>
      </c>
      <c r="X336" s="4" t="str">
        <f t="shared" si="107"/>
        <v>通过</v>
      </c>
    </row>
    <row r="337" spans="1:24" s="1" customFormat="1" ht="71.25">
      <c r="A337" s="4" t="str">
        <f>"40"</f>
        <v>40</v>
      </c>
      <c r="B337" s="4" t="str">
        <f>"梁利梅"</f>
        <v>梁利梅</v>
      </c>
      <c r="C337" s="4" t="str">
        <f>"女        "</f>
        <v>女        </v>
      </c>
      <c r="D337" s="4" t="str">
        <f>"壮族"</f>
        <v>壮族</v>
      </c>
      <c r="E337" s="4" t="str">
        <f>"广西隆林"</f>
        <v>广西隆林</v>
      </c>
      <c r="F337" s="4" t="str">
        <f>"1993年04月"</f>
        <v>1993年04月</v>
      </c>
      <c r="G337" s="4" t="str">
        <f>"共青团员"</f>
        <v>共青团员</v>
      </c>
      <c r="H337" s="4" t="str">
        <f>"452631199304072665"</f>
        <v>452631199304072665</v>
      </c>
      <c r="I337" s="4" t="str">
        <f>"玉林师范学院园林"</f>
        <v>玉林师范学院园林</v>
      </c>
      <c r="J337" s="4" t="str">
        <f>"园林"</f>
        <v>园林</v>
      </c>
      <c r="K337" s="4" t="str">
        <f>"本科学士"</f>
        <v>本科学士</v>
      </c>
      <c r="L337" s="4" t="str">
        <f>"18878552423"</f>
        <v>18878552423</v>
      </c>
      <c r="M337" s="4" t="str">
        <f t="shared" si="106"/>
        <v>隆林县</v>
      </c>
      <c r="N337" s="4" t="str">
        <f>"广西百色市隆林县革步乡红岩村坝顺屯"</f>
        <v>广西百色市隆林县革步乡红岩村坝顺屯</v>
      </c>
      <c r="O337" s="4" t="str">
        <f>"1656347258@qq.com"</f>
        <v>1656347258@qq.com</v>
      </c>
      <c r="P337" s="4">
        <f>""</f>
      </c>
      <c r="Q337" s="4" t="str">
        <f>"2017.06.01"</f>
        <v>2017.06.01</v>
      </c>
      <c r="R337" s="4" t="str">
        <f>"不是"</f>
        <v>不是</v>
      </c>
      <c r="S337" s="4" t="str">
        <f>"0:暂未取得"</f>
        <v>0:暂未取得</v>
      </c>
      <c r="T337" s="4" t="str">
        <f>"无"</f>
        <v>无</v>
      </c>
      <c r="U337" s="4" t="str">
        <f>"无"</f>
        <v>无</v>
      </c>
      <c r="V337" s="4" t="str">
        <f t="shared" si="102"/>
        <v>小学</v>
      </c>
      <c r="W337" s="4" t="str">
        <f t="shared" si="99"/>
        <v>103:数学</v>
      </c>
      <c r="X337" s="4" t="str">
        <f t="shared" si="107"/>
        <v>通过</v>
      </c>
    </row>
    <row r="338" spans="1:24" s="1" customFormat="1" ht="71.25">
      <c r="A338" s="4" t="str">
        <f>"41"</f>
        <v>41</v>
      </c>
      <c r="B338" s="4" t="str">
        <f>"徐朝鸿"</f>
        <v>徐朝鸿</v>
      </c>
      <c r="C338" s="4" t="str">
        <f>"男        "</f>
        <v>男        </v>
      </c>
      <c r="D338" s="4" t="str">
        <f>"汉族"</f>
        <v>汉族</v>
      </c>
      <c r="E338" s="4" t="str">
        <f>"广西隆林"</f>
        <v>广西隆林</v>
      </c>
      <c r="F338" s="4" t="str">
        <f>"1988年08月"</f>
        <v>1988年08月</v>
      </c>
      <c r="G338" s="4" t="str">
        <f>"共青团员"</f>
        <v>共青团员</v>
      </c>
      <c r="H338" s="4" t="str">
        <f>"452631198808102333"</f>
        <v>452631198808102333</v>
      </c>
      <c r="I338" s="4" t="str">
        <f>"广西大学行健文理学院国际经济与贸易"</f>
        <v>广西大学行健文理学院国际经济与贸易</v>
      </c>
      <c r="J338" s="4" t="str">
        <f>"国际经济与贸易"</f>
        <v>国际经济与贸易</v>
      </c>
      <c r="K338" s="4" t="str">
        <f>"本科学士"</f>
        <v>本科学士</v>
      </c>
      <c r="L338" s="4" t="str">
        <f>"18677687673"</f>
        <v>18677687673</v>
      </c>
      <c r="M338" s="4" t="str">
        <f t="shared" si="106"/>
        <v>隆林县</v>
      </c>
      <c r="N338" s="4" t="str">
        <f>"广西隆林县天生桥镇安然村一队003号"</f>
        <v>广西隆林县天生桥镇安然村一队003号</v>
      </c>
      <c r="O338" s="4" t="str">
        <f>"490317364@qq.com"</f>
        <v>490317364@qq.com</v>
      </c>
      <c r="P338" s="4" t="str">
        <f>"2012.07.01"</f>
        <v>2012.07.01</v>
      </c>
      <c r="Q338" s="4" t="str">
        <f>"2012.06.01"</f>
        <v>2012.06.01</v>
      </c>
      <c r="R338" s="4" t="str">
        <f>"不是"</f>
        <v>不是</v>
      </c>
      <c r="S338" s="4" t="str">
        <f>"2:小学"</f>
        <v>2:小学</v>
      </c>
      <c r="T338" s="4" t="str">
        <f>"正在办理中"</f>
        <v>正在办理中</v>
      </c>
      <c r="U338" s="4" t="str">
        <f>"136381201205001444"</f>
        <v>136381201205001444</v>
      </c>
      <c r="V338" s="4" t="str">
        <f t="shared" si="102"/>
        <v>小学</v>
      </c>
      <c r="W338" s="4" t="str">
        <f t="shared" si="99"/>
        <v>103:数学</v>
      </c>
      <c r="X338" s="4" t="str">
        <f t="shared" si="107"/>
        <v>通过</v>
      </c>
    </row>
    <row r="339" spans="1:24" s="1" customFormat="1" ht="71.25">
      <c r="A339" s="4" t="str">
        <f>"42"</f>
        <v>42</v>
      </c>
      <c r="B339" s="4" t="str">
        <f>"王淑英"</f>
        <v>王淑英</v>
      </c>
      <c r="C339" s="4" t="str">
        <f>"女        "</f>
        <v>女        </v>
      </c>
      <c r="D339" s="4" t="str">
        <f>"苗族"</f>
        <v>苗族</v>
      </c>
      <c r="E339" s="4" t="str">
        <f>"广西隆林"</f>
        <v>广西隆林</v>
      </c>
      <c r="F339" s="4" t="str">
        <f>"1993年05月"</f>
        <v>1993年05月</v>
      </c>
      <c r="G339" s="4" t="str">
        <f>"共青团员"</f>
        <v>共青团员</v>
      </c>
      <c r="H339" s="4" t="str">
        <f>"45263119930509388X"</f>
        <v>45263119930509388X</v>
      </c>
      <c r="I339" s="4" t="str">
        <f>"百色学院学前教育"</f>
        <v>百色学院学前教育</v>
      </c>
      <c r="J339" s="4" t="str">
        <f>"学前教育"</f>
        <v>学前教育</v>
      </c>
      <c r="K339" s="4" t="str">
        <f>"专科无学位"</f>
        <v>专科无学位</v>
      </c>
      <c r="L339" s="4" t="str">
        <f>"17807764439"</f>
        <v>17807764439</v>
      </c>
      <c r="M339" s="4" t="str">
        <f t="shared" si="106"/>
        <v>隆林县</v>
      </c>
      <c r="N339" s="4" t="str">
        <f>"广西隆林各族自治县蛇场乡新立村田湾社21号"</f>
        <v>广西隆林各族自治县蛇场乡新立村田湾社21号</v>
      </c>
      <c r="O339" s="4" t="str">
        <f>"1600712541@qq.com"</f>
        <v>1600712541@qq.com</v>
      </c>
      <c r="P339" s="4">
        <f>""</f>
      </c>
      <c r="Q339" s="4" t="str">
        <f>"2017.06.01"</f>
        <v>2017.06.01</v>
      </c>
      <c r="R339" s="4" t="str">
        <f>"是"</f>
        <v>是</v>
      </c>
      <c r="S339" s="4" t="str">
        <f>"0:暂未取得"</f>
        <v>0:暂未取得</v>
      </c>
      <c r="T339" s="4" t="str">
        <f>"2017届毕业生填暂无"</f>
        <v>2017届毕业生填暂无</v>
      </c>
      <c r="U339" s="4" t="str">
        <f>"2017届毕业生填暂无"</f>
        <v>2017届毕业生填暂无</v>
      </c>
      <c r="V339" s="4" t="str">
        <f t="shared" si="102"/>
        <v>小学</v>
      </c>
      <c r="W339" s="4" t="str">
        <f t="shared" si="99"/>
        <v>103:数学</v>
      </c>
      <c r="X339" s="4" t="str">
        <f t="shared" si="107"/>
        <v>通过</v>
      </c>
    </row>
    <row r="340" spans="1:24" s="1" customFormat="1" ht="42.75">
      <c r="A340" s="4" t="str">
        <f>"43"</f>
        <v>43</v>
      </c>
      <c r="B340" s="4" t="str">
        <f>"欧小刚"</f>
        <v>欧小刚</v>
      </c>
      <c r="C340" s="4" t="str">
        <f>"男        "</f>
        <v>男        </v>
      </c>
      <c r="D340" s="4" t="str">
        <f>"苗族"</f>
        <v>苗族</v>
      </c>
      <c r="E340" s="4" t="str">
        <f>"贵州贞丰"</f>
        <v>贵州贞丰</v>
      </c>
      <c r="F340" s="4" t="str">
        <f>"1990年12月"</f>
        <v>1990年12月</v>
      </c>
      <c r="G340" s="4" t="str">
        <f>"群众"</f>
        <v>群众</v>
      </c>
      <c r="H340" s="4" t="str">
        <f>"522325199012230814"</f>
        <v>522325199012230814</v>
      </c>
      <c r="I340" s="4" t="str">
        <f>"兴义民族师范学院小学教育"</f>
        <v>兴义民族师范学院小学教育</v>
      </c>
      <c r="J340" s="4" t="str">
        <f>"小学教育"</f>
        <v>小学教育</v>
      </c>
      <c r="K340" s="4" t="str">
        <f>"本科学士"</f>
        <v>本科学士</v>
      </c>
      <c r="L340" s="4" t="str">
        <f>"18785935504"</f>
        <v>18785935504</v>
      </c>
      <c r="M340" s="4" t="str">
        <f t="shared" si="106"/>
        <v>隆林县</v>
      </c>
      <c r="N340" s="4" t="str">
        <f>"贵州省贞丰县者相镇董箐村"</f>
        <v>贵州省贞丰县者相镇董箐村</v>
      </c>
      <c r="O340" s="4" t="str">
        <f>"704902238@qq.com"</f>
        <v>704902238@qq.com</v>
      </c>
      <c r="P340" s="4">
        <f>""</f>
      </c>
      <c r="Q340" s="4" t="str">
        <f>"2017.06.01"</f>
        <v>2017.06.01</v>
      </c>
      <c r="R340" s="4" t="str">
        <f>"是"</f>
        <v>是</v>
      </c>
      <c r="S340" s="4" t="str">
        <f>"2:小学"</f>
        <v>2:小学</v>
      </c>
      <c r="T340" s="4" t="str">
        <f>"无"</f>
        <v>无</v>
      </c>
      <c r="U340" s="4" t="str">
        <f>"无"</f>
        <v>无</v>
      </c>
      <c r="V340" s="4" t="str">
        <f t="shared" si="102"/>
        <v>小学</v>
      </c>
      <c r="W340" s="4" t="str">
        <f t="shared" si="99"/>
        <v>103:数学</v>
      </c>
      <c r="X340" s="4" t="str">
        <f t="shared" si="107"/>
        <v>通过</v>
      </c>
    </row>
    <row r="341" spans="1:24" s="1" customFormat="1" ht="71.25">
      <c r="A341" s="4" t="str">
        <f>"44"</f>
        <v>44</v>
      </c>
      <c r="B341" s="4" t="str">
        <f>"梁尧简"</f>
        <v>梁尧简</v>
      </c>
      <c r="C341" s="4" t="str">
        <f>"男        "</f>
        <v>男        </v>
      </c>
      <c r="D341" s="4" t="str">
        <f>"壮族"</f>
        <v>壮族</v>
      </c>
      <c r="E341" s="4" t="str">
        <f>"广西隆林"</f>
        <v>广西隆林</v>
      </c>
      <c r="F341" s="4" t="str">
        <f>"1995年03月"</f>
        <v>1995年03月</v>
      </c>
      <c r="G341" s="4" t="str">
        <f aca="true" t="shared" si="108" ref="G341:G351">"共青团员"</f>
        <v>共青团员</v>
      </c>
      <c r="H341" s="4" t="str">
        <f>"452631199503131779"</f>
        <v>452631199503131779</v>
      </c>
      <c r="I341" s="4" t="str">
        <f>"百色学院小学教育"</f>
        <v>百色学院小学教育</v>
      </c>
      <c r="J341" s="4" t="str">
        <f>"小学教育"</f>
        <v>小学教育</v>
      </c>
      <c r="K341" s="4" t="str">
        <f>"专科无学位"</f>
        <v>专科无学位</v>
      </c>
      <c r="L341" s="4" t="str">
        <f>"15078209921"</f>
        <v>15078209921</v>
      </c>
      <c r="M341" s="4" t="str">
        <f t="shared" si="106"/>
        <v>隆林县</v>
      </c>
      <c r="N341" s="4" t="str">
        <f>"广西隆林各族自治县者保乡同福村江堆屯"</f>
        <v>广西隆林各族自治县者保乡同福村江堆屯</v>
      </c>
      <c r="O341" s="4" t="str">
        <f>"50932658@163.com"</f>
        <v>50932658@163.com</v>
      </c>
      <c r="P341" s="4">
        <f>""</f>
      </c>
      <c r="Q341" s="4" t="str">
        <f>"2017.06.01"</f>
        <v>2017.06.01</v>
      </c>
      <c r="R341" s="4" t="str">
        <f>"是"</f>
        <v>是</v>
      </c>
      <c r="S341" s="4" t="str">
        <f>"0:暂未取得"</f>
        <v>0:暂未取得</v>
      </c>
      <c r="T341" s="4" t="str">
        <f>"2017届毕业生填暂无"</f>
        <v>2017届毕业生填暂无</v>
      </c>
      <c r="U341" s="4" t="str">
        <f>"2017届毕业生填暂无"</f>
        <v>2017届毕业生填暂无</v>
      </c>
      <c r="V341" s="4" t="str">
        <f t="shared" si="102"/>
        <v>小学</v>
      </c>
      <c r="W341" s="4" t="str">
        <f t="shared" si="99"/>
        <v>103:数学</v>
      </c>
      <c r="X341" s="4" t="str">
        <f t="shared" si="107"/>
        <v>通过</v>
      </c>
    </row>
    <row r="342" spans="1:24" s="1" customFormat="1" ht="71.25">
      <c r="A342" s="4" t="str">
        <f>"45"</f>
        <v>45</v>
      </c>
      <c r="B342" s="4" t="str">
        <f>"杨群英"</f>
        <v>杨群英</v>
      </c>
      <c r="C342" s="4" t="str">
        <f>"女        "</f>
        <v>女        </v>
      </c>
      <c r="D342" s="4" t="str">
        <f>"汉族"</f>
        <v>汉族</v>
      </c>
      <c r="E342" s="4" t="str">
        <f>"广西隆林各族自治县"</f>
        <v>广西隆林各族自治县</v>
      </c>
      <c r="F342" s="4" t="str">
        <f>"1997年01月"</f>
        <v>1997年01月</v>
      </c>
      <c r="G342" s="4" t="str">
        <f t="shared" si="108"/>
        <v>共青团员</v>
      </c>
      <c r="H342" s="4" t="str">
        <f>"452631199701060983"</f>
        <v>452631199701060983</v>
      </c>
      <c r="I342" s="4" t="str">
        <f>"百色学院小学教育"</f>
        <v>百色学院小学教育</v>
      </c>
      <c r="J342" s="4" t="str">
        <f>"小学教育"</f>
        <v>小学教育</v>
      </c>
      <c r="K342" s="4" t="str">
        <f>"专科无学位"</f>
        <v>专科无学位</v>
      </c>
      <c r="L342" s="4" t="str">
        <f>"13657761784"</f>
        <v>13657761784</v>
      </c>
      <c r="M342" s="4" t="str">
        <f t="shared" si="106"/>
        <v>隆林县</v>
      </c>
      <c r="N342" s="4" t="str">
        <f>"广西隆林各族自治县隆或镇双多村多尧屯"</f>
        <v>广西隆林各族自治县隆或镇双多村多尧屯</v>
      </c>
      <c r="O342" s="4" t="str">
        <f>"1483302798@qq.com"</f>
        <v>1483302798@qq.com</v>
      </c>
      <c r="P342" s="4" t="str">
        <f>"2017.03.01"</f>
        <v>2017.03.01</v>
      </c>
      <c r="Q342" s="4" t="str">
        <f>"2017.06.01"</f>
        <v>2017.06.01</v>
      </c>
      <c r="R342" s="4" t="str">
        <f>"是"</f>
        <v>是</v>
      </c>
      <c r="S342" s="4" t="str">
        <f>"0:暂未取得"</f>
        <v>0:暂未取得</v>
      </c>
      <c r="T342" s="4" t="str">
        <f aca="true" t="shared" si="109" ref="T342:U344">"暂无"</f>
        <v>暂无</v>
      </c>
      <c r="U342" s="4" t="str">
        <f t="shared" si="109"/>
        <v>暂无</v>
      </c>
      <c r="V342" s="4" t="str">
        <f t="shared" si="102"/>
        <v>小学</v>
      </c>
      <c r="W342" s="4" t="str">
        <f t="shared" si="99"/>
        <v>103:数学</v>
      </c>
      <c r="X342" s="4" t="str">
        <f t="shared" si="107"/>
        <v>通过</v>
      </c>
    </row>
    <row r="343" spans="1:24" s="1" customFormat="1" ht="85.5">
      <c r="A343" s="4" t="str">
        <f>"46"</f>
        <v>46</v>
      </c>
      <c r="B343" s="4" t="str">
        <f>"林明健"</f>
        <v>林明健</v>
      </c>
      <c r="C343" s="4" t="str">
        <f>"男        "</f>
        <v>男        </v>
      </c>
      <c r="D343" s="4" t="str">
        <f>"汉族"</f>
        <v>汉族</v>
      </c>
      <c r="E343" s="4" t="str">
        <f>"广西"</f>
        <v>广西</v>
      </c>
      <c r="F343" s="4" t="str">
        <f>"1993年04月"</f>
        <v>1993年04月</v>
      </c>
      <c r="G343" s="4" t="str">
        <f t="shared" si="108"/>
        <v>共青团员</v>
      </c>
      <c r="H343" s="4" t="str">
        <f>"452631199304080358"</f>
        <v>452631199304080358</v>
      </c>
      <c r="I343" s="4" t="str">
        <f>"上海电力学院环境工程"</f>
        <v>上海电力学院环境工程</v>
      </c>
      <c r="J343" s="4" t="str">
        <f>"环境工程"</f>
        <v>环境工程</v>
      </c>
      <c r="K343" s="4" t="str">
        <f>"本科无学位"</f>
        <v>本科无学位</v>
      </c>
      <c r="L343" s="4" t="str">
        <f>"15077610548"</f>
        <v>15077610548</v>
      </c>
      <c r="M343" s="4" t="str">
        <f t="shared" si="106"/>
        <v>隆林县</v>
      </c>
      <c r="N343" s="4" t="str">
        <f>"广西百色市隆林县桠杈镇龙歪村上龙歪屯051号"</f>
        <v>广西百色市隆林县桠杈镇龙歪村上龙歪屯051号</v>
      </c>
      <c r="O343" s="4" t="str">
        <f>"798255412@qq.com"</f>
        <v>798255412@qq.com</v>
      </c>
      <c r="P343" s="4">
        <f>""</f>
      </c>
      <c r="Q343" s="4" t="str">
        <f>"2017.07.01"</f>
        <v>2017.07.01</v>
      </c>
      <c r="R343" s="4" t="str">
        <f>"不是"</f>
        <v>不是</v>
      </c>
      <c r="S343" s="4" t="str">
        <f>"0:暂未取得"</f>
        <v>0:暂未取得</v>
      </c>
      <c r="T343" s="4" t="str">
        <f t="shared" si="109"/>
        <v>暂无</v>
      </c>
      <c r="U343" s="4" t="str">
        <f t="shared" si="109"/>
        <v>暂无</v>
      </c>
      <c r="V343" s="4" t="str">
        <f t="shared" si="102"/>
        <v>小学</v>
      </c>
      <c r="W343" s="4" t="str">
        <f t="shared" si="99"/>
        <v>103:数学</v>
      </c>
      <c r="X343" s="4" t="str">
        <f t="shared" si="107"/>
        <v>通过</v>
      </c>
    </row>
    <row r="344" spans="1:24" s="1" customFormat="1" ht="85.5">
      <c r="A344" s="4" t="str">
        <f>"47"</f>
        <v>47</v>
      </c>
      <c r="B344" s="4" t="str">
        <f>"涂健海"</f>
        <v>涂健海</v>
      </c>
      <c r="C344" s="4" t="str">
        <f>"男        "</f>
        <v>男        </v>
      </c>
      <c r="D344" s="4" t="str">
        <f>"彝族"</f>
        <v>彝族</v>
      </c>
      <c r="E344" s="4" t="str">
        <f>"广西隆林"</f>
        <v>广西隆林</v>
      </c>
      <c r="F344" s="4" t="str">
        <f>"1996年01月"</f>
        <v>1996年01月</v>
      </c>
      <c r="G344" s="4" t="str">
        <f t="shared" si="108"/>
        <v>共青团员</v>
      </c>
      <c r="H344" s="4" t="str">
        <f>"452631199601173139"</f>
        <v>452631199601173139</v>
      </c>
      <c r="I344" s="4" t="str">
        <f>"百色学院小学教育"</f>
        <v>百色学院小学教育</v>
      </c>
      <c r="J344" s="4" t="str">
        <f>"小学教育"</f>
        <v>小学教育</v>
      </c>
      <c r="K344" s="4" t="str">
        <f>"专科无学位"</f>
        <v>专科无学位</v>
      </c>
      <c r="L344" s="4" t="str">
        <f>"18278674133"</f>
        <v>18278674133</v>
      </c>
      <c r="M344" s="4" t="str">
        <f t="shared" si="106"/>
        <v>隆林县</v>
      </c>
      <c r="N344" s="4" t="str">
        <f>"广西隆林各族自治县德峨乡那地存那地街一队25号"</f>
        <v>广西隆林各族自治县德峨乡那地存那地街一队25号</v>
      </c>
      <c r="O344" s="4" t="str">
        <f>"1849989805@qq.com"</f>
        <v>1849989805@qq.com</v>
      </c>
      <c r="P344" s="4">
        <f>""</f>
      </c>
      <c r="Q344" s="4" t="str">
        <f>"2017.06.01"</f>
        <v>2017.06.01</v>
      </c>
      <c r="R344" s="4" t="str">
        <f>"是"</f>
        <v>是</v>
      </c>
      <c r="S344" s="4" t="str">
        <f>"0:暂未取得"</f>
        <v>0:暂未取得</v>
      </c>
      <c r="T344" s="4" t="str">
        <f t="shared" si="109"/>
        <v>暂无</v>
      </c>
      <c r="U344" s="4" t="str">
        <f t="shared" si="109"/>
        <v>暂无</v>
      </c>
      <c r="V344" s="4" t="str">
        <f t="shared" si="102"/>
        <v>小学</v>
      </c>
      <c r="W344" s="4" t="str">
        <f t="shared" si="99"/>
        <v>103:数学</v>
      </c>
      <c r="X344" s="4" t="str">
        <f t="shared" si="107"/>
        <v>通过</v>
      </c>
    </row>
    <row r="345" spans="1:24" s="1" customFormat="1" ht="57">
      <c r="A345" s="4" t="str">
        <f>"48"</f>
        <v>48</v>
      </c>
      <c r="B345" s="4" t="str">
        <f>"杨富泽"</f>
        <v>杨富泽</v>
      </c>
      <c r="C345" s="4" t="str">
        <f>"男        "</f>
        <v>男        </v>
      </c>
      <c r="D345" s="4" t="str">
        <f>"彝族"</f>
        <v>彝族</v>
      </c>
      <c r="E345" s="4" t="str">
        <f>"云南省楚雄州元谋县"</f>
        <v>云南省楚雄州元谋县</v>
      </c>
      <c r="F345" s="4" t="str">
        <f>"1992年09月"</f>
        <v>1992年09月</v>
      </c>
      <c r="G345" s="4" t="str">
        <f t="shared" si="108"/>
        <v>共青团员</v>
      </c>
      <c r="H345" s="4" t="str">
        <f>"532328199209182319"</f>
        <v>532328199209182319</v>
      </c>
      <c r="I345" s="4" t="str">
        <f>"德宏师范高等专科学校初等教育理科"</f>
        <v>德宏师范高等专科学校初等教育理科</v>
      </c>
      <c r="J345" s="4" t="str">
        <f>"初等教育理科"</f>
        <v>初等教育理科</v>
      </c>
      <c r="K345" s="4" t="str">
        <f>"专科无学位"</f>
        <v>专科无学位</v>
      </c>
      <c r="L345" s="4" t="str">
        <f>"18288190793"</f>
        <v>18288190793</v>
      </c>
      <c r="M345" s="4" t="str">
        <f t="shared" si="106"/>
        <v>隆林县</v>
      </c>
      <c r="N345" s="4" t="str">
        <f>"云南省楚雄州元谋县羊街镇"</f>
        <v>云南省楚雄州元谋县羊街镇</v>
      </c>
      <c r="O345" s="4" t="str">
        <f>"1447619001@qq.com"</f>
        <v>1447619001@qq.com</v>
      </c>
      <c r="P345" s="4">
        <f>""</f>
      </c>
      <c r="Q345" s="4" t="str">
        <f>"2016.07.01"</f>
        <v>2016.07.01</v>
      </c>
      <c r="R345" s="4" t="str">
        <f>"是"</f>
        <v>是</v>
      </c>
      <c r="S345" s="4" t="str">
        <f>"2:小学"</f>
        <v>2:小学</v>
      </c>
      <c r="T345" s="4" t="str">
        <f>"20165311821001088"</f>
        <v>20165311821001088</v>
      </c>
      <c r="U345" s="4" t="str">
        <f>"140161201606000084"</f>
        <v>140161201606000084</v>
      </c>
      <c r="V345" s="4" t="str">
        <f t="shared" si="102"/>
        <v>小学</v>
      </c>
      <c r="W345" s="4" t="str">
        <f t="shared" si="99"/>
        <v>103:数学</v>
      </c>
      <c r="X345" s="4" t="str">
        <f t="shared" si="107"/>
        <v>通过</v>
      </c>
    </row>
    <row r="346" spans="1:24" s="1" customFormat="1" ht="71.25">
      <c r="A346" s="4" t="str">
        <f>"49"</f>
        <v>49</v>
      </c>
      <c r="B346" s="4" t="str">
        <f>"王正良"</f>
        <v>王正良</v>
      </c>
      <c r="C346" s="4" t="str">
        <f>"男        "</f>
        <v>男        </v>
      </c>
      <c r="D346" s="4" t="str">
        <f>"壮族"</f>
        <v>壮族</v>
      </c>
      <c r="E346" s="4" t="str">
        <f>"广西百色市"</f>
        <v>广西百色市</v>
      </c>
      <c r="F346" s="4" t="str">
        <f>"1994年11月"</f>
        <v>1994年11月</v>
      </c>
      <c r="G346" s="4" t="str">
        <f t="shared" si="108"/>
        <v>共青团员</v>
      </c>
      <c r="H346" s="4" t="str">
        <f>"452631199411202090"</f>
        <v>452631199411202090</v>
      </c>
      <c r="I346" s="4" t="str">
        <f>"广西教育学院数学教育"</f>
        <v>广西教育学院数学教育</v>
      </c>
      <c r="J346" s="4" t="str">
        <f>"数学教育"</f>
        <v>数学教育</v>
      </c>
      <c r="K346" s="4" t="str">
        <f>"专科无学位"</f>
        <v>专科无学位</v>
      </c>
      <c r="L346" s="4" t="str">
        <f>"15296286854"</f>
        <v>15296286854</v>
      </c>
      <c r="M346" s="4" t="str">
        <f t="shared" si="106"/>
        <v>隆林县</v>
      </c>
      <c r="N346" s="4" t="str">
        <f>"广西百色市隆林县者浪乡者床村那栾屯"</f>
        <v>广西百色市隆林县者浪乡者床村那栾屯</v>
      </c>
      <c r="O346" s="4" t="str">
        <f>"1282795450@qq.cm"</f>
        <v>1282795450@qq.cm</v>
      </c>
      <c r="P346" s="4">
        <f>""</f>
      </c>
      <c r="Q346" s="4" t="str">
        <f>"2017.06.01"</f>
        <v>2017.06.01</v>
      </c>
      <c r="R346" s="4" t="str">
        <f>"是"</f>
        <v>是</v>
      </c>
      <c r="S346" s="4" t="str">
        <f>"2:小学"</f>
        <v>2:小学</v>
      </c>
      <c r="T346" s="4" t="str">
        <f>"暂无"</f>
        <v>暂无</v>
      </c>
      <c r="U346" s="4" t="str">
        <f>"暂无"</f>
        <v>暂无</v>
      </c>
      <c r="V346" s="4" t="str">
        <f t="shared" si="102"/>
        <v>小学</v>
      </c>
      <c r="W346" s="4" t="str">
        <f t="shared" si="99"/>
        <v>103:数学</v>
      </c>
      <c r="X346" s="4" t="str">
        <f t="shared" si="107"/>
        <v>通过</v>
      </c>
    </row>
    <row r="347" spans="1:24" s="1" customFormat="1" ht="71.25">
      <c r="A347" s="4" t="str">
        <f>"50"</f>
        <v>50</v>
      </c>
      <c r="B347" s="4" t="str">
        <f>"马文健"</f>
        <v>马文健</v>
      </c>
      <c r="C347" s="4" t="str">
        <f>"男        "</f>
        <v>男        </v>
      </c>
      <c r="D347" s="4" t="str">
        <f>"苗族"</f>
        <v>苗族</v>
      </c>
      <c r="E347" s="4" t="str">
        <f>"广西百色隆林各族自治"</f>
        <v>广西百色隆林各族自治</v>
      </c>
      <c r="F347" s="4" t="str">
        <f>"1991年03月"</f>
        <v>1991年03月</v>
      </c>
      <c r="G347" s="4" t="str">
        <f t="shared" si="108"/>
        <v>共青团员</v>
      </c>
      <c r="H347" s="4" t="str">
        <f>"452631199103273153"</f>
        <v>452631199103273153</v>
      </c>
      <c r="I347" s="4" t="str">
        <f>"百色学院数学与应用数学"</f>
        <v>百色学院数学与应用数学</v>
      </c>
      <c r="J347" s="4" t="str">
        <f>"数学与应用数学"</f>
        <v>数学与应用数学</v>
      </c>
      <c r="K347" s="4" t="str">
        <f>"本科学士"</f>
        <v>本科学士</v>
      </c>
      <c r="L347" s="4" t="str">
        <f>"18778684628"</f>
        <v>18778684628</v>
      </c>
      <c r="M347" s="4" t="str">
        <f t="shared" si="106"/>
        <v>隆林县</v>
      </c>
      <c r="N347" s="4" t="str">
        <f>"广西隆林各族自治县德峨镇夏家湾村甘子平屯"</f>
        <v>广西隆林各族自治县德峨镇夏家湾村甘子平屯</v>
      </c>
      <c r="O347" s="4" t="str">
        <f>"1194608889@qq.com"</f>
        <v>1194608889@qq.com</v>
      </c>
      <c r="P347" s="4">
        <f>""</f>
      </c>
      <c r="Q347" s="4" t="str">
        <f>"2017.07.01"</f>
        <v>2017.07.01</v>
      </c>
      <c r="R347" s="4" t="str">
        <f>"不是"</f>
        <v>不是</v>
      </c>
      <c r="S347" s="4" t="str">
        <f>"0:暂未取得"</f>
        <v>0:暂未取得</v>
      </c>
      <c r="T347" s="4" t="str">
        <f>"2017届毕业生填暂无"</f>
        <v>2017届毕业生填暂无</v>
      </c>
      <c r="U347" s="4" t="str">
        <f>"2017届毕业生填暂无"</f>
        <v>2017届毕业生填暂无</v>
      </c>
      <c r="V347" s="4" t="str">
        <f t="shared" si="102"/>
        <v>小学</v>
      </c>
      <c r="W347" s="4" t="str">
        <f t="shared" si="99"/>
        <v>103:数学</v>
      </c>
      <c r="X347" s="4" t="str">
        <f t="shared" si="107"/>
        <v>通过</v>
      </c>
    </row>
    <row r="348" spans="1:24" s="1" customFormat="1" ht="85.5">
      <c r="A348" s="4" t="str">
        <f>"51"</f>
        <v>51</v>
      </c>
      <c r="B348" s="4" t="str">
        <f>"黄芳"</f>
        <v>黄芳</v>
      </c>
      <c r="C348" s="4" t="str">
        <f aca="true" t="shared" si="110" ref="C348:C355">"女        "</f>
        <v>女        </v>
      </c>
      <c r="D348" s="4" t="str">
        <f>"彝族"</f>
        <v>彝族</v>
      </c>
      <c r="E348" s="4" t="str">
        <f>"广西隆林县"</f>
        <v>广西隆林县</v>
      </c>
      <c r="F348" s="4" t="str">
        <f>"1994年02月"</f>
        <v>1994年02月</v>
      </c>
      <c r="G348" s="4" t="str">
        <f t="shared" si="108"/>
        <v>共青团员</v>
      </c>
      <c r="H348" s="4" t="str">
        <f>"452631199402073143"</f>
        <v>452631199402073143</v>
      </c>
      <c r="I348" s="4" t="str">
        <f>"广西民族师范学院通信工程"</f>
        <v>广西民族师范学院通信工程</v>
      </c>
      <c r="J348" s="4" t="str">
        <f>"通信工程"</f>
        <v>通信工程</v>
      </c>
      <c r="K348" s="4" t="str">
        <f>"本科学士"</f>
        <v>本科学士</v>
      </c>
      <c r="L348" s="4" t="str">
        <f>"13377169096"</f>
        <v>13377169096</v>
      </c>
      <c r="M348" s="4" t="str">
        <f t="shared" si="106"/>
        <v>隆林县</v>
      </c>
      <c r="N348" s="4" t="str">
        <f>"广西百色市隆林县德峨镇那地村那地街二队14号"</f>
        <v>广西百色市隆林县德峨镇那地村那地街二队14号</v>
      </c>
      <c r="O348" s="4" t="str">
        <f>"359765407@qq.com"</f>
        <v>359765407@qq.com</v>
      </c>
      <c r="P348" s="4" t="str">
        <f>"2017.02.01"</f>
        <v>2017.02.01</v>
      </c>
      <c r="Q348" s="4" t="str">
        <f>"2017.06.01"</f>
        <v>2017.06.01</v>
      </c>
      <c r="R348" s="4" t="str">
        <f>"不是"</f>
        <v>不是</v>
      </c>
      <c r="S348" s="4" t="str">
        <f>"0:暂未取得"</f>
        <v>0:暂未取得</v>
      </c>
      <c r="T348" s="4" t="str">
        <f>"2017届毕业生填暂无"</f>
        <v>2017届毕业生填暂无</v>
      </c>
      <c r="U348" s="4" t="str">
        <f>"2017届毕业生填暂无"</f>
        <v>2017届毕业生填暂无</v>
      </c>
      <c r="V348" s="4" t="str">
        <f t="shared" si="102"/>
        <v>小学</v>
      </c>
      <c r="W348" s="4" t="str">
        <f t="shared" si="99"/>
        <v>103:数学</v>
      </c>
      <c r="X348" s="4" t="str">
        <f t="shared" si="107"/>
        <v>通过</v>
      </c>
    </row>
    <row r="349" spans="1:24" s="1" customFormat="1" ht="71.25">
      <c r="A349" s="4" t="str">
        <f>"52"</f>
        <v>52</v>
      </c>
      <c r="B349" s="4" t="str">
        <f>"左晏"</f>
        <v>左晏</v>
      </c>
      <c r="C349" s="4" t="str">
        <f t="shared" si="110"/>
        <v>女        </v>
      </c>
      <c r="D349" s="4" t="str">
        <f>"壮族"</f>
        <v>壮族</v>
      </c>
      <c r="E349" s="4" t="str">
        <f>"广西百色"</f>
        <v>广西百色</v>
      </c>
      <c r="F349" s="4" t="str">
        <f>"1992年02月"</f>
        <v>1992年02月</v>
      </c>
      <c r="G349" s="4" t="str">
        <f t="shared" si="108"/>
        <v>共青团员</v>
      </c>
      <c r="H349" s="4" t="str">
        <f>"452631199202014800"</f>
        <v>452631199202014800</v>
      </c>
      <c r="I349" s="4" t="str">
        <f>"贺州学院学前教育"</f>
        <v>贺州学院学前教育</v>
      </c>
      <c r="J349" s="4" t="str">
        <f>"学前教育"</f>
        <v>学前教育</v>
      </c>
      <c r="K349" s="4" t="str">
        <f>"专科无学位"</f>
        <v>专科无学位</v>
      </c>
      <c r="L349" s="4" t="str">
        <f>"15177045299"</f>
        <v>15177045299</v>
      </c>
      <c r="M349" s="4" t="str">
        <f t="shared" si="106"/>
        <v>隆林县</v>
      </c>
      <c r="N349" s="4" t="str">
        <f>"广西隆林各族自治县介廷乡马窑村左家屯42号"</f>
        <v>广西隆林各族自治县介廷乡马窑村左家屯42号</v>
      </c>
      <c r="O349" s="4" t="str">
        <f>"544859017@qq.com"</f>
        <v>544859017@qq.com</v>
      </c>
      <c r="P349" s="4" t="str">
        <f>"2016.09.01"</f>
        <v>2016.09.01</v>
      </c>
      <c r="Q349" s="4" t="str">
        <f>"2016.06.01"</f>
        <v>2016.06.01</v>
      </c>
      <c r="R349" s="4" t="str">
        <f>"是"</f>
        <v>是</v>
      </c>
      <c r="S349" s="4" t="str">
        <f>"2:小学"</f>
        <v>2:小学</v>
      </c>
      <c r="T349" s="4" t="str">
        <f>"2017452016135"</f>
        <v>2017452016135</v>
      </c>
      <c r="U349" s="4" t="str">
        <f>"118381201606000175"</f>
        <v>118381201606000175</v>
      </c>
      <c r="V349" s="4" t="str">
        <f t="shared" si="102"/>
        <v>小学</v>
      </c>
      <c r="W349" s="4" t="str">
        <f t="shared" si="99"/>
        <v>103:数学</v>
      </c>
      <c r="X349" s="4" t="str">
        <f t="shared" si="107"/>
        <v>通过</v>
      </c>
    </row>
    <row r="350" spans="1:24" s="1" customFormat="1" ht="85.5">
      <c r="A350" s="4" t="str">
        <f>"53"</f>
        <v>53</v>
      </c>
      <c r="B350" s="4" t="str">
        <f>"黄丽沙"</f>
        <v>黄丽沙</v>
      </c>
      <c r="C350" s="4" t="str">
        <f t="shared" si="110"/>
        <v>女        </v>
      </c>
      <c r="D350" s="4" t="str">
        <f>"壮族"</f>
        <v>壮族</v>
      </c>
      <c r="E350" s="4" t="str">
        <f>"广西隆林县"</f>
        <v>广西隆林县</v>
      </c>
      <c r="F350" s="4" t="str">
        <f>"1992年10月"</f>
        <v>1992年10月</v>
      </c>
      <c r="G350" s="4" t="str">
        <f t="shared" si="108"/>
        <v>共青团员</v>
      </c>
      <c r="H350" s="4" t="str">
        <f>"452631199210240760"</f>
        <v>452631199210240760</v>
      </c>
      <c r="I350" s="4" t="str">
        <f>"玉林师范学院小学教育"</f>
        <v>玉林师范学院小学教育</v>
      </c>
      <c r="J350" s="4" t="str">
        <f>"小学教育"</f>
        <v>小学教育</v>
      </c>
      <c r="K350" s="4" t="str">
        <f>"本科学士"</f>
        <v>本科学士</v>
      </c>
      <c r="L350" s="4" t="str">
        <f>"18878552014"</f>
        <v>18878552014</v>
      </c>
      <c r="M350" s="4" t="str">
        <f t="shared" si="106"/>
        <v>隆林县</v>
      </c>
      <c r="N350" s="4" t="str">
        <f>"广西隆林各族自治县平班镇岩友村科皓一屯24号"</f>
        <v>广西隆林各族自治县平班镇岩友村科皓一屯24号</v>
      </c>
      <c r="O350" s="4" t="str">
        <f>"1017696133@qq.com"</f>
        <v>1017696133@qq.com</v>
      </c>
      <c r="P350" s="4" t="str">
        <f>"2016.09.01"</f>
        <v>2016.09.01</v>
      </c>
      <c r="Q350" s="4" t="str">
        <f>"2017.06.01"</f>
        <v>2017.06.01</v>
      </c>
      <c r="R350" s="4" t="str">
        <f>"是"</f>
        <v>是</v>
      </c>
      <c r="S350" s="4" t="str">
        <f>"2:小学"</f>
        <v>2:小学</v>
      </c>
      <c r="T350" s="4" t="str">
        <f>"无"</f>
        <v>无</v>
      </c>
      <c r="U350" s="4" t="str">
        <f>"无"</f>
        <v>无</v>
      </c>
      <c r="V350" s="4" t="str">
        <f t="shared" si="102"/>
        <v>小学</v>
      </c>
      <c r="W350" s="4" t="str">
        <f t="shared" si="99"/>
        <v>103:数学</v>
      </c>
      <c r="X350" s="4" t="str">
        <f t="shared" si="107"/>
        <v>通过</v>
      </c>
    </row>
    <row r="351" spans="1:24" s="1" customFormat="1" ht="85.5">
      <c r="A351" s="4" t="str">
        <f>"54"</f>
        <v>54</v>
      </c>
      <c r="B351" s="4" t="str">
        <f>"董丽"</f>
        <v>董丽</v>
      </c>
      <c r="C351" s="4" t="str">
        <f t="shared" si="110"/>
        <v>女        </v>
      </c>
      <c r="D351" s="4" t="str">
        <f>"汉族"</f>
        <v>汉族</v>
      </c>
      <c r="E351" s="4" t="str">
        <f>"云南昆明"</f>
        <v>云南昆明</v>
      </c>
      <c r="F351" s="4" t="str">
        <f>"1991年10月"</f>
        <v>1991年10月</v>
      </c>
      <c r="G351" s="4" t="str">
        <f t="shared" si="108"/>
        <v>共青团员</v>
      </c>
      <c r="H351" s="4" t="str">
        <f>"530129199110120322"</f>
        <v>530129199110120322</v>
      </c>
      <c r="I351" s="4" t="str">
        <f>"普洱学院物理教育"</f>
        <v>普洱学院物理教育</v>
      </c>
      <c r="J351" s="4" t="str">
        <f>"物理教育"</f>
        <v>物理教育</v>
      </c>
      <c r="K351" s="4" t="str">
        <f>"专科无学位"</f>
        <v>专科无学位</v>
      </c>
      <c r="L351" s="4" t="str">
        <f>"15331580520"</f>
        <v>15331580520</v>
      </c>
      <c r="M351" s="4" t="str">
        <f t="shared" si="106"/>
        <v>隆林县</v>
      </c>
      <c r="N351" s="4" t="str">
        <f>"云南省昆明市寻甸县河口镇化桃箐村委会化桃箐村"</f>
        <v>云南省昆明市寻甸县河口镇化桃箐村委会化桃箐村</v>
      </c>
      <c r="O351" s="4" t="str">
        <f>"2281783966@qq.com"</f>
        <v>2281783966@qq.com</v>
      </c>
      <c r="P351" s="4">
        <f>""</f>
      </c>
      <c r="Q351" s="4" t="str">
        <f>"2014.07.01"</f>
        <v>2014.07.01</v>
      </c>
      <c r="R351" s="4" t="str">
        <f>"是"</f>
        <v>是</v>
      </c>
      <c r="S351" s="4" t="str">
        <f>"3:初级中学"</f>
        <v>3:初级中学</v>
      </c>
      <c r="T351" s="4" t="str">
        <f>"20145308332000995"</f>
        <v>20145308332000995</v>
      </c>
      <c r="U351" s="4" t="str">
        <f>"106851201406000111"</f>
        <v>106851201406000111</v>
      </c>
      <c r="V351" s="4" t="str">
        <f t="shared" si="102"/>
        <v>小学</v>
      </c>
      <c r="W351" s="4" t="str">
        <f t="shared" si="99"/>
        <v>103:数学</v>
      </c>
      <c r="X351" s="4" t="str">
        <f t="shared" si="107"/>
        <v>通过</v>
      </c>
    </row>
    <row r="352" spans="1:24" s="1" customFormat="1" ht="57">
      <c r="A352" s="4" t="str">
        <f>"55"</f>
        <v>55</v>
      </c>
      <c r="B352" s="4" t="str">
        <f>"侯公桂"</f>
        <v>侯公桂</v>
      </c>
      <c r="C352" s="4" t="str">
        <f t="shared" si="110"/>
        <v>女        </v>
      </c>
      <c r="D352" s="4" t="str">
        <f>"汉族"</f>
        <v>汉族</v>
      </c>
      <c r="E352" s="4" t="str">
        <f>"贵州安龙"</f>
        <v>贵州安龙</v>
      </c>
      <c r="F352" s="4" t="str">
        <f>"1987年12月"</f>
        <v>1987年12月</v>
      </c>
      <c r="G352" s="4" t="str">
        <f>"中共党员"</f>
        <v>中共党员</v>
      </c>
      <c r="H352" s="4" t="str">
        <f>"532130198712152121"</f>
        <v>532130198712152121</v>
      </c>
      <c r="I352" s="4" t="str">
        <f>"思茅师范高等专科学校生物教育"</f>
        <v>思茅师范高等专科学校生物教育</v>
      </c>
      <c r="J352" s="4" t="str">
        <f>"生物教育"</f>
        <v>生物教育</v>
      </c>
      <c r="K352" s="4" t="str">
        <f>"专科无学位"</f>
        <v>专科无学位</v>
      </c>
      <c r="L352" s="4" t="str">
        <f>"18208625901"</f>
        <v>18208625901</v>
      </c>
      <c r="M352" s="4" t="str">
        <f t="shared" si="106"/>
        <v>隆林县</v>
      </c>
      <c r="N352" s="4" t="str">
        <f>"贵州省安龙县海子镇安岭村蚂蚁冲组"</f>
        <v>贵州省安龙县海子镇安岭村蚂蚁冲组</v>
      </c>
      <c r="O352" s="4" t="str">
        <f>"595601002@qq.com"</f>
        <v>595601002@qq.com</v>
      </c>
      <c r="P352" s="4" t="str">
        <f>"2014.04.01"</f>
        <v>2014.04.01</v>
      </c>
      <c r="Q352" s="4" t="str">
        <f>"2011.07.01"</f>
        <v>2011.07.01</v>
      </c>
      <c r="R352" s="4" t="str">
        <f>"是"</f>
        <v>是</v>
      </c>
      <c r="S352" s="4" t="str">
        <f>"3:初级中学"</f>
        <v>3:初级中学</v>
      </c>
      <c r="T352" s="4" t="str">
        <f>"20115308332001420"</f>
        <v>20115308332001420</v>
      </c>
      <c r="U352" s="4" t="str">
        <f>"106851201106000288"</f>
        <v>106851201106000288</v>
      </c>
      <c r="V352" s="4" t="str">
        <f t="shared" si="102"/>
        <v>小学</v>
      </c>
      <c r="W352" s="4" t="str">
        <f t="shared" si="99"/>
        <v>103:数学</v>
      </c>
      <c r="X352" s="4" t="str">
        <f t="shared" si="107"/>
        <v>通过</v>
      </c>
    </row>
    <row r="353" spans="1:24" s="1" customFormat="1" ht="71.25">
      <c r="A353" s="4" t="str">
        <f>"56"</f>
        <v>56</v>
      </c>
      <c r="B353" s="4" t="str">
        <f>"梁琼芳"</f>
        <v>梁琼芳</v>
      </c>
      <c r="C353" s="4" t="str">
        <f t="shared" si="110"/>
        <v>女        </v>
      </c>
      <c r="D353" s="4" t="str">
        <f>"汉族"</f>
        <v>汉族</v>
      </c>
      <c r="E353" s="4" t="str">
        <f>"广西钦州"</f>
        <v>广西钦州</v>
      </c>
      <c r="F353" s="4" t="str">
        <f>"1987年10月"</f>
        <v>1987年10月</v>
      </c>
      <c r="G353" s="4" t="str">
        <f>"中共党员"</f>
        <v>中共党员</v>
      </c>
      <c r="H353" s="4" t="str">
        <f>"450702198710073943"</f>
        <v>450702198710073943</v>
      </c>
      <c r="I353" s="4" t="str">
        <f>"广西教育学院计算机网络技术"</f>
        <v>广西教育学院计算机网络技术</v>
      </c>
      <c r="J353" s="4" t="str">
        <f>"计算机网络技术"</f>
        <v>计算机网络技术</v>
      </c>
      <c r="K353" s="4" t="str">
        <f>"专科无学位"</f>
        <v>专科无学位</v>
      </c>
      <c r="L353" s="4" t="str">
        <f>"13117711461"</f>
        <v>13117711461</v>
      </c>
      <c r="M353" s="4" t="str">
        <f t="shared" si="106"/>
        <v>隆林县</v>
      </c>
      <c r="N353" s="4" t="str">
        <f>"广西省百色市隆林各族自治县介廷乡介廷街上"</f>
        <v>广西省百色市隆林各族自治县介廷乡介廷街上</v>
      </c>
      <c r="O353" s="4" t="str">
        <f>"1012840683@qq.com"</f>
        <v>1012840683@qq.com</v>
      </c>
      <c r="P353" s="4" t="str">
        <f>"2010.07.01"</f>
        <v>2010.07.01</v>
      </c>
      <c r="Q353" s="4" t="str">
        <f>"2010.06.01"</f>
        <v>2010.06.01</v>
      </c>
      <c r="R353" s="4" t="str">
        <f>"不是"</f>
        <v>不是</v>
      </c>
      <c r="S353" s="4" t="str">
        <f>"3:初级中学"</f>
        <v>3:初级中学</v>
      </c>
      <c r="T353" s="4" t="str">
        <f>"20104501232000581"</f>
        <v>20104501232000581</v>
      </c>
      <c r="U353" s="4" t="str">
        <f>"508701201006000638"</f>
        <v>508701201006000638</v>
      </c>
      <c r="V353" s="4" t="str">
        <f t="shared" si="102"/>
        <v>小学</v>
      </c>
      <c r="W353" s="4" t="str">
        <f t="shared" si="99"/>
        <v>103:数学</v>
      </c>
      <c r="X353" s="4" t="str">
        <f t="shared" si="107"/>
        <v>通过</v>
      </c>
    </row>
    <row r="354" spans="1:24" s="1" customFormat="1" ht="57">
      <c r="A354" s="4" t="str">
        <f>"57"</f>
        <v>57</v>
      </c>
      <c r="B354" s="4" t="str">
        <f>"付正亚"</f>
        <v>付正亚</v>
      </c>
      <c r="C354" s="4" t="str">
        <f t="shared" si="110"/>
        <v>女        </v>
      </c>
      <c r="D354" s="4" t="str">
        <f>"汉族"</f>
        <v>汉族</v>
      </c>
      <c r="E354" s="4" t="str">
        <f>"云南曲靖"</f>
        <v>云南曲靖</v>
      </c>
      <c r="F354" s="4" t="str">
        <f>"1990年06月"</f>
        <v>1990年06月</v>
      </c>
      <c r="G354" s="4" t="str">
        <f>"共青团员"</f>
        <v>共青团员</v>
      </c>
      <c r="H354" s="4" t="str">
        <f>"530325199006280022"</f>
        <v>530325199006280022</v>
      </c>
      <c r="I354" s="4" t="str">
        <f>"德宏师范高等专科学校英语教育"</f>
        <v>德宏师范高等专科学校英语教育</v>
      </c>
      <c r="J354" s="4" t="str">
        <f>"英语教育"</f>
        <v>英语教育</v>
      </c>
      <c r="K354" s="4" t="str">
        <f>"专科无学位"</f>
        <v>专科无学位</v>
      </c>
      <c r="L354" s="4" t="str">
        <f>"15974629475"</f>
        <v>15974629475</v>
      </c>
      <c r="M354" s="4" t="str">
        <f t="shared" si="106"/>
        <v>隆林县</v>
      </c>
      <c r="N354" s="4" t="str">
        <f>"云南省曲靖市富源县中安镇清溪社区"</f>
        <v>云南省曲靖市富源县中安镇清溪社区</v>
      </c>
      <c r="O354" s="4" t="str">
        <f>"1059676299@qq.com"</f>
        <v>1059676299@qq.com</v>
      </c>
      <c r="P354" s="4" t="str">
        <f>"2013.07.01"</f>
        <v>2013.07.01</v>
      </c>
      <c r="Q354" s="4" t="str">
        <f>"2013.07.01"</f>
        <v>2013.07.01</v>
      </c>
      <c r="R354" s="4" t="str">
        <f>"是"</f>
        <v>是</v>
      </c>
      <c r="S354" s="4" t="str">
        <f>"3:初级中学"</f>
        <v>3:初级中学</v>
      </c>
      <c r="T354" s="4" t="str">
        <f>"20135311832001122"</f>
        <v>20135311832001122</v>
      </c>
      <c r="U354" s="4" t="str">
        <f>"140161201306001656"</f>
        <v>140161201306001656</v>
      </c>
      <c r="V354" s="4" t="str">
        <f t="shared" si="102"/>
        <v>小学</v>
      </c>
      <c r="W354" s="4" t="str">
        <f t="shared" si="99"/>
        <v>103:数学</v>
      </c>
      <c r="X354" s="4" t="str">
        <f t="shared" si="107"/>
        <v>通过</v>
      </c>
    </row>
    <row r="355" spans="1:24" s="1" customFormat="1" ht="71.25">
      <c r="A355" s="4" t="str">
        <f>"58"</f>
        <v>58</v>
      </c>
      <c r="B355" s="4" t="str">
        <f>"程春会"</f>
        <v>程春会</v>
      </c>
      <c r="C355" s="4" t="str">
        <f t="shared" si="110"/>
        <v>女        </v>
      </c>
      <c r="D355" s="4" t="str">
        <f>"汉族"</f>
        <v>汉族</v>
      </c>
      <c r="E355" s="4" t="str">
        <f>"广西百色市"</f>
        <v>广西百色市</v>
      </c>
      <c r="F355" s="4" t="str">
        <f>"1993年08月"</f>
        <v>1993年08月</v>
      </c>
      <c r="G355" s="4" t="str">
        <f>"共青团员"</f>
        <v>共青团员</v>
      </c>
      <c r="H355" s="4" t="str">
        <f>"45263119930806032X"</f>
        <v>45263119930806032X</v>
      </c>
      <c r="I355" s="4" t="str">
        <f>"广西师范大学经济学"</f>
        <v>广西师范大学经济学</v>
      </c>
      <c r="J355" s="4" t="str">
        <f>"经济学"</f>
        <v>经济学</v>
      </c>
      <c r="K355" s="4" t="str">
        <f>"本科学士"</f>
        <v>本科学士</v>
      </c>
      <c r="L355" s="4" t="str">
        <f>"15078339656"</f>
        <v>15078339656</v>
      </c>
      <c r="M355" s="4" t="str">
        <f t="shared" si="106"/>
        <v>隆林县</v>
      </c>
      <c r="N355" s="4" t="str">
        <f>"广西百色市隆林县桠杈镇生基湾村009号"</f>
        <v>广西百色市隆林县桠杈镇生基湾村009号</v>
      </c>
      <c r="O355" s="4" t="str">
        <f>"1638691585@qq.com"</f>
        <v>1638691585@qq.com</v>
      </c>
      <c r="P355" s="4" t="str">
        <f>"2014.02.01"</f>
        <v>2014.02.01</v>
      </c>
      <c r="Q355" s="4" t="str">
        <f>"2017.06.01"</f>
        <v>2017.06.01</v>
      </c>
      <c r="R355" s="4" t="str">
        <f>"不是"</f>
        <v>不是</v>
      </c>
      <c r="S355" s="4" t="str">
        <f>"0:暂未取得"</f>
        <v>0:暂未取得</v>
      </c>
      <c r="T355" s="4" t="str">
        <f>"暂无"</f>
        <v>暂无</v>
      </c>
      <c r="U355" s="4" t="str">
        <f>"暂无"</f>
        <v>暂无</v>
      </c>
      <c r="V355" s="4" t="str">
        <f t="shared" si="102"/>
        <v>小学</v>
      </c>
      <c r="W355" s="4" t="str">
        <f t="shared" si="99"/>
        <v>103:数学</v>
      </c>
      <c r="X355" s="4" t="str">
        <f t="shared" si="107"/>
        <v>通过</v>
      </c>
    </row>
    <row r="356" spans="1:24" s="1" customFormat="1" ht="71.25">
      <c r="A356" s="4" t="str">
        <f>"59"</f>
        <v>59</v>
      </c>
      <c r="B356" s="4" t="str">
        <f>"朱习元"</f>
        <v>朱习元</v>
      </c>
      <c r="C356" s="4" t="str">
        <f>"男        "</f>
        <v>男        </v>
      </c>
      <c r="D356" s="4" t="str">
        <f>"苗族"</f>
        <v>苗族</v>
      </c>
      <c r="E356" s="4" t="str">
        <f>"贵州省望谟县"</f>
        <v>贵州省望谟县</v>
      </c>
      <c r="F356" s="4" t="str">
        <f>"1997年05月"</f>
        <v>1997年05月</v>
      </c>
      <c r="G356" s="4" t="str">
        <f>"群众"</f>
        <v>群众</v>
      </c>
      <c r="H356" s="4" t="str">
        <f>"522326199705151672"</f>
        <v>522326199705151672</v>
      </c>
      <c r="I356" s="4" t="str">
        <f>"铜仁幼儿师范高等专科学校小学数学"</f>
        <v>铜仁幼儿师范高等专科学校小学数学</v>
      </c>
      <c r="J356" s="4" t="str">
        <f>"小学数学"</f>
        <v>小学数学</v>
      </c>
      <c r="K356" s="4" t="str">
        <f>"专科无学位"</f>
        <v>专科无学位</v>
      </c>
      <c r="L356" s="4" t="str">
        <f>"13595657046"</f>
        <v>13595657046</v>
      </c>
      <c r="M356" s="4" t="str">
        <f t="shared" si="106"/>
        <v>隆林县</v>
      </c>
      <c r="N356" s="4" t="str">
        <f>"贵州省望谟县新屯镇坪湘村朱家堡组"</f>
        <v>贵州省望谟县新屯镇坪湘村朱家堡组</v>
      </c>
      <c r="O356" s="4" t="str">
        <f>"1161482212@qq.com"</f>
        <v>1161482212@qq.com</v>
      </c>
      <c r="P356" s="4">
        <f>""</f>
      </c>
      <c r="Q356" s="4" t="str">
        <f>"2017.07.01"</f>
        <v>2017.07.01</v>
      </c>
      <c r="R356" s="4" t="str">
        <f>"是"</f>
        <v>是</v>
      </c>
      <c r="S356" s="4" t="str">
        <f>"2:小学"</f>
        <v>2:小学</v>
      </c>
      <c r="T356" s="4" t="str">
        <f>"2017届毕业生填暂无"</f>
        <v>2017届毕业生填暂无</v>
      </c>
      <c r="U356" s="4" t="str">
        <f>"2017届毕业生填暂无"</f>
        <v>2017届毕业生填暂无</v>
      </c>
      <c r="V356" s="4" t="str">
        <f t="shared" si="102"/>
        <v>小学</v>
      </c>
      <c r="W356" s="4" t="str">
        <f t="shared" si="99"/>
        <v>103:数学</v>
      </c>
      <c r="X356" s="4" t="str">
        <f t="shared" si="107"/>
        <v>通过</v>
      </c>
    </row>
    <row r="357" spans="1:24" s="1" customFormat="1" ht="57">
      <c r="A357" s="4" t="str">
        <f>"60"</f>
        <v>60</v>
      </c>
      <c r="B357" s="4" t="str">
        <f>"鄢天红"</f>
        <v>鄢天红</v>
      </c>
      <c r="C357" s="4" t="str">
        <f>"女        "</f>
        <v>女        </v>
      </c>
      <c r="D357" s="4" t="str">
        <f>"汉族"</f>
        <v>汉族</v>
      </c>
      <c r="E357" s="4" t="str">
        <f>"广西隆林"</f>
        <v>广西隆林</v>
      </c>
      <c r="F357" s="4" t="str">
        <f>"1993年01月"</f>
        <v>1993年01月</v>
      </c>
      <c r="G357" s="4" t="str">
        <f>"共青团员"</f>
        <v>共青团员</v>
      </c>
      <c r="H357" s="4" t="str">
        <f>"452631199301172943"</f>
        <v>452631199301172943</v>
      </c>
      <c r="I357" s="4" t="str">
        <f>"贺州学院广播电视编导"</f>
        <v>贺州学院广播电视编导</v>
      </c>
      <c r="J357" s="4" t="str">
        <f>"广播电视编导"</f>
        <v>广播电视编导</v>
      </c>
      <c r="K357" s="4" t="str">
        <f>"本科学士"</f>
        <v>本科学士</v>
      </c>
      <c r="L357" s="4" t="str">
        <f>"15117386086"</f>
        <v>15117386086</v>
      </c>
      <c r="M357" s="4" t="str">
        <f t="shared" si="106"/>
        <v>隆林县</v>
      </c>
      <c r="N357" s="4" t="str">
        <f>"广西区百色市隆林县金钟山乡牛场村"</f>
        <v>广西区百色市隆林县金钟山乡牛场村</v>
      </c>
      <c r="O357" s="4" t="str">
        <f>"644201528@qq.c60"</f>
        <v>644201528@qq.c60</v>
      </c>
      <c r="P357" s="4" t="str">
        <f>"2015.07.01"</f>
        <v>2015.07.01</v>
      </c>
      <c r="Q357" s="4" t="str">
        <f>"2015.07.01"</f>
        <v>2015.07.01</v>
      </c>
      <c r="R357" s="4" t="str">
        <f>"不是"</f>
        <v>不是</v>
      </c>
      <c r="S357" s="4" t="str">
        <f>"2:小学"</f>
        <v>2:小学</v>
      </c>
      <c r="T357" s="4" t="str">
        <f>"2016452033188"</f>
        <v>2016452033188</v>
      </c>
      <c r="U357" s="4" t="str">
        <f>"118381201505001178"</f>
        <v>118381201505001178</v>
      </c>
      <c r="V357" s="4" t="str">
        <f t="shared" si="102"/>
        <v>小学</v>
      </c>
      <c r="W357" s="4" t="str">
        <f t="shared" si="99"/>
        <v>103:数学</v>
      </c>
      <c r="X357" s="4" t="str">
        <f t="shared" si="107"/>
        <v>通过</v>
      </c>
    </row>
    <row r="358" spans="1:24" s="1" customFormat="1" ht="57">
      <c r="A358" s="4" t="str">
        <f>"61"</f>
        <v>61</v>
      </c>
      <c r="B358" s="4" t="str">
        <f>"汪荣艳"</f>
        <v>汪荣艳</v>
      </c>
      <c r="C358" s="4" t="str">
        <f>"女        "</f>
        <v>女        </v>
      </c>
      <c r="D358" s="4" t="str">
        <f>"汉族"</f>
        <v>汉族</v>
      </c>
      <c r="E358" s="4" t="str">
        <f>"隆林"</f>
        <v>隆林</v>
      </c>
      <c r="F358" s="4" t="str">
        <f>"1992年04月"</f>
        <v>1992年04月</v>
      </c>
      <c r="G358" s="4" t="str">
        <f>"群众"</f>
        <v>群众</v>
      </c>
      <c r="H358" s="4" t="str">
        <f>"452631199204122303"</f>
        <v>452631199204122303</v>
      </c>
      <c r="I358" s="4" t="str">
        <f>"广西幼儿师范高等专科学校学前教育"</f>
        <v>广西幼儿师范高等专科学校学前教育</v>
      </c>
      <c r="J358" s="4" t="str">
        <f>"学前教育"</f>
        <v>学前教育</v>
      </c>
      <c r="K358" s="4" t="str">
        <f>"专科学士"</f>
        <v>专科学士</v>
      </c>
      <c r="L358" s="4" t="str">
        <f>"18377608041"</f>
        <v>18377608041</v>
      </c>
      <c r="M358" s="4" t="str">
        <f t="shared" si="106"/>
        <v>隆林县</v>
      </c>
      <c r="N358" s="4" t="str">
        <f>"广西百色市隆林县"</f>
        <v>广西百色市隆林县</v>
      </c>
      <c r="O358" s="4" t="str">
        <f>"1542408720@qq.com"</f>
        <v>1542408720@qq.com</v>
      </c>
      <c r="P358" s="4" t="str">
        <f>"2014.03.01"</f>
        <v>2014.03.01</v>
      </c>
      <c r="Q358" s="4" t="str">
        <f>"2014.06.01"</f>
        <v>2014.06.01</v>
      </c>
      <c r="R358" s="4" t="str">
        <f aca="true" t="shared" si="111" ref="R358:R366">"是"</f>
        <v>是</v>
      </c>
      <c r="S358" s="4" t="str">
        <f>"2:小学"</f>
        <v>2:小学</v>
      </c>
      <c r="T358" s="4" t="str">
        <f>"20164580522000018"</f>
        <v>20164580522000018</v>
      </c>
      <c r="U358" s="4" t="str">
        <f>"142201201406000324"</f>
        <v>142201201406000324</v>
      </c>
      <c r="V358" s="4" t="str">
        <f t="shared" si="102"/>
        <v>小学</v>
      </c>
      <c r="W358" s="4" t="str">
        <f t="shared" si="99"/>
        <v>103:数学</v>
      </c>
      <c r="X358" s="4" t="str">
        <f t="shared" si="107"/>
        <v>通过</v>
      </c>
    </row>
    <row r="359" spans="1:24" s="1" customFormat="1" ht="57">
      <c r="A359" s="4" t="str">
        <f>"62"</f>
        <v>62</v>
      </c>
      <c r="B359" s="4" t="str">
        <f>"喻凤"</f>
        <v>喻凤</v>
      </c>
      <c r="C359" s="4" t="str">
        <f>"女        "</f>
        <v>女        </v>
      </c>
      <c r="D359" s="4" t="str">
        <f>"汉族"</f>
        <v>汉族</v>
      </c>
      <c r="E359" s="4" t="str">
        <f>"贵州省兴义市望谟县"</f>
        <v>贵州省兴义市望谟县</v>
      </c>
      <c r="F359" s="4" t="str">
        <f>"1991年07月"</f>
        <v>1991年07月</v>
      </c>
      <c r="G359" s="4" t="str">
        <f>"共青团员"</f>
        <v>共青团员</v>
      </c>
      <c r="H359" s="4" t="str">
        <f>"52232619910717302X"</f>
        <v>52232619910717302X</v>
      </c>
      <c r="I359" s="4" t="str">
        <f>"六盘水师范学院物理教育"</f>
        <v>六盘水师范学院物理教育</v>
      </c>
      <c r="J359" s="4" t="str">
        <f>"物理教育"</f>
        <v>物理教育</v>
      </c>
      <c r="K359" s="4" t="str">
        <f>"专科无学位"</f>
        <v>专科无学位</v>
      </c>
      <c r="L359" s="4" t="str">
        <f>"18286882845"</f>
        <v>18286882845</v>
      </c>
      <c r="M359" s="4" t="str">
        <f t="shared" si="106"/>
        <v>隆林县</v>
      </c>
      <c r="N359" s="4" t="str">
        <f>"贵州省望谟县郊纳镇八步村"</f>
        <v>贵州省望谟县郊纳镇八步村</v>
      </c>
      <c r="O359" s="4" t="str">
        <f>"1009261717@qq.com"</f>
        <v>1009261717@qq.com</v>
      </c>
      <c r="P359" s="4">
        <f>""</f>
      </c>
      <c r="Q359" s="4" t="str">
        <f>"2014.07.01"</f>
        <v>2014.07.01</v>
      </c>
      <c r="R359" s="4" t="str">
        <f t="shared" si="111"/>
        <v>是</v>
      </c>
      <c r="S359" s="4" t="str">
        <f>"3:初级中学"</f>
        <v>3:初级中学</v>
      </c>
      <c r="T359" s="4" t="str">
        <f>"20145260132000483"</f>
        <v>20145260132000483</v>
      </c>
      <c r="U359" s="4" t="str">
        <f>"109771201406000720"</f>
        <v>109771201406000720</v>
      </c>
      <c r="V359" s="4" t="str">
        <f t="shared" si="102"/>
        <v>小学</v>
      </c>
      <c r="W359" s="4" t="str">
        <f t="shared" si="99"/>
        <v>103:数学</v>
      </c>
      <c r="X359" s="4" t="str">
        <f t="shared" si="107"/>
        <v>通过</v>
      </c>
    </row>
    <row r="360" spans="1:24" s="1" customFormat="1" ht="71.25">
      <c r="A360" s="4" t="str">
        <f>"63"</f>
        <v>63</v>
      </c>
      <c r="B360" s="4" t="str">
        <f>"孙雨嘉"</f>
        <v>孙雨嘉</v>
      </c>
      <c r="C360" s="4" t="str">
        <f>"女        "</f>
        <v>女        </v>
      </c>
      <c r="D360" s="4" t="str">
        <f>"汉族"</f>
        <v>汉族</v>
      </c>
      <c r="E360" s="4" t="str">
        <f>"云南省曲靖市马龙县"</f>
        <v>云南省曲靖市马龙县</v>
      </c>
      <c r="F360" s="4" t="str">
        <f>"1993年04月"</f>
        <v>1993年04月</v>
      </c>
      <c r="G360" s="4" t="str">
        <f>"共青团员"</f>
        <v>共青团员</v>
      </c>
      <c r="H360" s="4" t="str">
        <f>"530321199304181326"</f>
        <v>530321199304181326</v>
      </c>
      <c r="I360" s="4" t="str">
        <f>"兴义民族师范学院小学教育"</f>
        <v>兴义民族师范学院小学教育</v>
      </c>
      <c r="J360" s="4" t="str">
        <f>"小学教育"</f>
        <v>小学教育</v>
      </c>
      <c r="K360" s="4" t="str">
        <f>"本科学士"</f>
        <v>本科学士</v>
      </c>
      <c r="L360" s="4" t="str">
        <f>"18785924480"</f>
        <v>18785924480</v>
      </c>
      <c r="M360" s="4" t="str">
        <f t="shared" si="106"/>
        <v>隆林县</v>
      </c>
      <c r="N360" s="4" t="str">
        <f>"云南省曲靖市马龙县大庄乡湾子村109号"</f>
        <v>云南省曲靖市马龙县大庄乡湾子村109号</v>
      </c>
      <c r="O360" s="4" t="str">
        <f>"578042196@qq.com"</f>
        <v>578042196@qq.com</v>
      </c>
      <c r="P360" s="4" t="str">
        <f>"2016.09.01"</f>
        <v>2016.09.01</v>
      </c>
      <c r="Q360" s="4" t="str">
        <f>"2017.07.01"</f>
        <v>2017.07.01</v>
      </c>
      <c r="R360" s="4" t="str">
        <f t="shared" si="111"/>
        <v>是</v>
      </c>
      <c r="S360" s="4" t="str">
        <f>"2:小学"</f>
        <v>2:小学</v>
      </c>
      <c r="T360" s="4" t="str">
        <f>"无"</f>
        <v>无</v>
      </c>
      <c r="U360" s="4" t="str">
        <f>"无"</f>
        <v>无</v>
      </c>
      <c r="V360" s="4" t="str">
        <f t="shared" si="102"/>
        <v>小学</v>
      </c>
      <c r="W360" s="4" t="str">
        <f t="shared" si="99"/>
        <v>103:数学</v>
      </c>
      <c r="X360" s="4" t="str">
        <f t="shared" si="107"/>
        <v>通过</v>
      </c>
    </row>
    <row r="361" spans="1:24" s="1" customFormat="1" ht="85.5">
      <c r="A361" s="4" t="str">
        <f>"64"</f>
        <v>64</v>
      </c>
      <c r="B361" s="4" t="str">
        <f>"杨坤明"</f>
        <v>杨坤明</v>
      </c>
      <c r="C361" s="4" t="str">
        <f>"男        "</f>
        <v>男        </v>
      </c>
      <c r="D361" s="4" t="str">
        <f>"苗族"</f>
        <v>苗族</v>
      </c>
      <c r="E361" s="4" t="str">
        <f>"广西百色"</f>
        <v>广西百色</v>
      </c>
      <c r="F361" s="4" t="str">
        <f>"1992年06月"</f>
        <v>1992年06月</v>
      </c>
      <c r="G361" s="4" t="str">
        <f>"共青团员"</f>
        <v>共青团员</v>
      </c>
      <c r="H361" s="4" t="str">
        <f>"452631199206183134"</f>
        <v>452631199206183134</v>
      </c>
      <c r="I361" s="4" t="str">
        <f>"广西科技师范学院综合理科"</f>
        <v>广西科技师范学院综合理科</v>
      </c>
      <c r="J361" s="4" t="str">
        <f>"综合理科"</f>
        <v>综合理科</v>
      </c>
      <c r="K361" s="4" t="str">
        <f>"专科无学位"</f>
        <v>专科无学位</v>
      </c>
      <c r="L361" s="4" t="str">
        <f>"18897898036"</f>
        <v>18897898036</v>
      </c>
      <c r="M361" s="4" t="str">
        <f t="shared" si="106"/>
        <v>隆林县</v>
      </c>
      <c r="N361" s="4" t="str">
        <f>"广西隆林各族自治县德峨镇八科村卜糯屯014号"</f>
        <v>广西隆林各族自治县德峨镇八科村卜糯屯014号</v>
      </c>
      <c r="O361" s="4" t="str">
        <f>"1617214434@qq.com"</f>
        <v>1617214434@qq.com</v>
      </c>
      <c r="P361" s="4">
        <f>""</f>
      </c>
      <c r="Q361" s="4" t="str">
        <f>"2017.06.01"</f>
        <v>2017.06.01</v>
      </c>
      <c r="R361" s="4" t="str">
        <f t="shared" si="111"/>
        <v>是</v>
      </c>
      <c r="S361" s="4" t="str">
        <f>"2:小学"</f>
        <v>2:小学</v>
      </c>
      <c r="T361" s="4" t="str">
        <f>"2017届毕业生填暂无"</f>
        <v>2017届毕业生填暂无</v>
      </c>
      <c r="U361" s="4" t="str">
        <f>"2017届毕业生填暂无"</f>
        <v>2017届毕业生填暂无</v>
      </c>
      <c r="V361" s="4" t="str">
        <f t="shared" si="102"/>
        <v>小学</v>
      </c>
      <c r="W361" s="4" t="str">
        <f t="shared" si="99"/>
        <v>103:数学</v>
      </c>
      <c r="X361" s="4" t="str">
        <f t="shared" si="107"/>
        <v>通过</v>
      </c>
    </row>
    <row r="362" spans="1:24" s="1" customFormat="1" ht="71.25">
      <c r="A362" s="4" t="str">
        <f>"65"</f>
        <v>65</v>
      </c>
      <c r="B362" s="4" t="str">
        <f>"郝正颖"</f>
        <v>郝正颖</v>
      </c>
      <c r="C362" s="4" t="str">
        <f>"男        "</f>
        <v>男        </v>
      </c>
      <c r="D362" s="4" t="str">
        <f>"汉族"</f>
        <v>汉族</v>
      </c>
      <c r="E362" s="4" t="str">
        <f>"贵州省兴仁县"</f>
        <v>贵州省兴仁县</v>
      </c>
      <c r="F362" s="4" t="str">
        <f>"1991年02月"</f>
        <v>1991年02月</v>
      </c>
      <c r="G362" s="4" t="str">
        <f>"共青团员"</f>
        <v>共青团员</v>
      </c>
      <c r="H362" s="4" t="str">
        <f>"522322199102081657"</f>
        <v>522322199102081657</v>
      </c>
      <c r="I362" s="4" t="str">
        <f>"黔南民族师范学院数学教育"</f>
        <v>黔南民族师范学院数学教育</v>
      </c>
      <c r="J362" s="4" t="str">
        <f>"数学教育"</f>
        <v>数学教育</v>
      </c>
      <c r="K362" s="4" t="str">
        <f>"专科无学位"</f>
        <v>专科无学位</v>
      </c>
      <c r="L362" s="4" t="str">
        <f>"15186461441"</f>
        <v>15186461441</v>
      </c>
      <c r="M362" s="4" t="str">
        <f t="shared" si="106"/>
        <v>隆林县</v>
      </c>
      <c r="N362" s="4" t="str">
        <f>"贵州省兴仁县雨樟镇格沙屯村榜子田一组"</f>
        <v>贵州省兴仁县雨樟镇格沙屯村榜子田一组</v>
      </c>
      <c r="O362" s="4" t="str">
        <f>"1025079241@qq.com"</f>
        <v>1025079241@qq.com</v>
      </c>
      <c r="P362" s="4" t="str">
        <f>"2015.06.01"</f>
        <v>2015.06.01</v>
      </c>
      <c r="Q362" s="4" t="str">
        <f>"2015.07.01"</f>
        <v>2015.07.01</v>
      </c>
      <c r="R362" s="4" t="str">
        <f t="shared" si="111"/>
        <v>是</v>
      </c>
      <c r="S362" s="4" t="str">
        <f>"3:初级中学"</f>
        <v>3:初级中学</v>
      </c>
      <c r="T362" s="4" t="str">
        <f>"20155270931000594"</f>
        <v>20155270931000594</v>
      </c>
      <c r="U362" s="4" t="str">
        <f>"106701201506000455"</f>
        <v>106701201506000455</v>
      </c>
      <c r="V362" s="4" t="str">
        <f t="shared" si="102"/>
        <v>小学</v>
      </c>
      <c r="W362" s="4" t="str">
        <f aca="true" t="shared" si="112" ref="W362:W392">"103:数学"</f>
        <v>103:数学</v>
      </c>
      <c r="X362" s="4" t="str">
        <f t="shared" si="107"/>
        <v>通过</v>
      </c>
    </row>
    <row r="363" spans="1:24" s="1" customFormat="1" ht="71.25">
      <c r="A363" s="4" t="str">
        <f>"66"</f>
        <v>66</v>
      </c>
      <c r="B363" s="4" t="str">
        <f>"吴浩海"</f>
        <v>吴浩海</v>
      </c>
      <c r="C363" s="4" t="str">
        <f>"男        "</f>
        <v>男        </v>
      </c>
      <c r="D363" s="4" t="str">
        <f>"汉族"</f>
        <v>汉族</v>
      </c>
      <c r="E363" s="4" t="str">
        <f>"云南省"</f>
        <v>云南省</v>
      </c>
      <c r="F363" s="4" t="str">
        <f>"1991年08月"</f>
        <v>1991年08月</v>
      </c>
      <c r="G363" s="4" t="str">
        <f>"共青团员"</f>
        <v>共青团员</v>
      </c>
      <c r="H363" s="4" t="str">
        <f>"530325199108281317"</f>
        <v>530325199108281317</v>
      </c>
      <c r="I363" s="4" t="str">
        <f>"保山学院地理教育"</f>
        <v>保山学院地理教育</v>
      </c>
      <c r="J363" s="4" t="str">
        <f>"地理教育"</f>
        <v>地理教育</v>
      </c>
      <c r="K363" s="4" t="str">
        <f>"专科无学位"</f>
        <v>专科无学位</v>
      </c>
      <c r="L363" s="4" t="str">
        <f>"18725466056"</f>
        <v>18725466056</v>
      </c>
      <c r="M363" s="4" t="str">
        <f t="shared" si="106"/>
        <v>隆林县</v>
      </c>
      <c r="N363" s="4" t="str">
        <f>"云南省曲靖市富源县富村镇托田村委会洒居村"</f>
        <v>云南省曲靖市富源县富村镇托田村委会洒居村</v>
      </c>
      <c r="O363" s="4" t="str">
        <f>"409909384@qq.com"</f>
        <v>409909384@qq.com</v>
      </c>
      <c r="P363" s="4" t="str">
        <f>"2014.03.01"</f>
        <v>2014.03.01</v>
      </c>
      <c r="Q363" s="4" t="str">
        <f>"2014.07.01"</f>
        <v>2014.07.01</v>
      </c>
      <c r="R363" s="4" t="str">
        <f t="shared" si="111"/>
        <v>是</v>
      </c>
      <c r="S363" s="4" t="str">
        <f>"3:初级中学"</f>
        <v>3:初级中学</v>
      </c>
      <c r="T363" s="4" t="str">
        <f>"20145311131000740"</f>
        <v>20145311131000740</v>
      </c>
      <c r="U363" s="4" t="str">
        <f>"106861201406000638"</f>
        <v>106861201406000638</v>
      </c>
      <c r="V363" s="4" t="str">
        <f t="shared" si="102"/>
        <v>小学</v>
      </c>
      <c r="W363" s="4" t="str">
        <f t="shared" si="112"/>
        <v>103:数学</v>
      </c>
      <c r="X363" s="4" t="str">
        <f t="shared" si="107"/>
        <v>通过</v>
      </c>
    </row>
    <row r="364" spans="1:24" s="1" customFormat="1" ht="71.25">
      <c r="A364" s="4" t="str">
        <f>"67"</f>
        <v>67</v>
      </c>
      <c r="B364" s="4" t="str">
        <f>"张芮"</f>
        <v>张芮</v>
      </c>
      <c r="C364" s="4" t="str">
        <f>"女        "</f>
        <v>女        </v>
      </c>
      <c r="D364" s="4" t="str">
        <f>"汉族"</f>
        <v>汉族</v>
      </c>
      <c r="E364" s="4" t="str">
        <f>"贵州省安顺市"</f>
        <v>贵州省安顺市</v>
      </c>
      <c r="F364" s="4" t="str">
        <f>"1992年08月"</f>
        <v>1992年08月</v>
      </c>
      <c r="G364" s="4" t="str">
        <f>"群众"</f>
        <v>群众</v>
      </c>
      <c r="H364" s="4" t="str">
        <f>"522501199208132044"</f>
        <v>522501199208132044</v>
      </c>
      <c r="I364" s="4" t="str">
        <f>"兴义民族师范学院初等教育"</f>
        <v>兴义民族师范学院初等教育</v>
      </c>
      <c r="J364" s="4" t="str">
        <f>"初等教育"</f>
        <v>初等教育</v>
      </c>
      <c r="K364" s="4" t="str">
        <f>"专科无学位"</f>
        <v>专科无学位</v>
      </c>
      <c r="L364" s="4" t="str">
        <f>"18085325529"</f>
        <v>18085325529</v>
      </c>
      <c r="M364" s="4" t="str">
        <f t="shared" si="106"/>
        <v>隆林县</v>
      </c>
      <c r="N364" s="4" t="str">
        <f>"贵州省安顺市西秀区平坝路12号2栋4号"</f>
        <v>贵州省安顺市西秀区平坝路12号2栋4号</v>
      </c>
      <c r="O364" s="4" t="str">
        <f>"1215926592@qq.com"</f>
        <v>1215926592@qq.com</v>
      </c>
      <c r="P364" s="4">
        <f>""</f>
      </c>
      <c r="Q364" s="4" t="str">
        <f>"2015.07.01"</f>
        <v>2015.07.01</v>
      </c>
      <c r="R364" s="4" t="str">
        <f t="shared" si="111"/>
        <v>是</v>
      </c>
      <c r="S364" s="4" t="str">
        <f>"2:小学"</f>
        <v>2:小学</v>
      </c>
      <c r="T364" s="4" t="str">
        <f>"20155290122001063"</f>
        <v>20155290122001063</v>
      </c>
      <c r="U364" s="4" t="str">
        <f>"106661201506000139"</f>
        <v>106661201506000139</v>
      </c>
      <c r="V364" s="4" t="str">
        <f t="shared" si="102"/>
        <v>小学</v>
      </c>
      <c r="W364" s="4" t="str">
        <f t="shared" si="112"/>
        <v>103:数学</v>
      </c>
      <c r="X364" s="4" t="str">
        <f t="shared" si="107"/>
        <v>通过</v>
      </c>
    </row>
    <row r="365" spans="1:24" s="1" customFormat="1" ht="42.75">
      <c r="A365" s="4" t="str">
        <f>"68"</f>
        <v>68</v>
      </c>
      <c r="B365" s="4" t="str">
        <f>"余超"</f>
        <v>余超</v>
      </c>
      <c r="C365" s="4" t="str">
        <f>"男        "</f>
        <v>男        </v>
      </c>
      <c r="D365" s="4" t="str">
        <f>"汉族"</f>
        <v>汉族</v>
      </c>
      <c r="E365" s="4" t="str">
        <f>"贵州省毕节市"</f>
        <v>贵州省毕节市</v>
      </c>
      <c r="F365" s="4" t="str">
        <f>"1992年04月"</f>
        <v>1992年04月</v>
      </c>
      <c r="G365" s="4" t="str">
        <f>"共青团员"</f>
        <v>共青团员</v>
      </c>
      <c r="H365" s="4" t="str">
        <f>"522401199204025318"</f>
        <v>522401199204025318</v>
      </c>
      <c r="I365" s="4" t="str">
        <f>"贵阳学院化学"</f>
        <v>贵阳学院化学</v>
      </c>
      <c r="J365" s="4" t="str">
        <f>"化学"</f>
        <v>化学</v>
      </c>
      <c r="K365" s="4" t="str">
        <f>"本科学士"</f>
        <v>本科学士</v>
      </c>
      <c r="L365" s="4" t="str">
        <f>"18786657614"</f>
        <v>18786657614</v>
      </c>
      <c r="M365" s="4" t="str">
        <f t="shared" si="106"/>
        <v>隆林县</v>
      </c>
      <c r="N365" s="4" t="str">
        <f>"贵州省毕节市大银镇高峰村"</f>
        <v>贵州省毕节市大银镇高峰村</v>
      </c>
      <c r="O365" s="4" t="str">
        <f>"1306344427@qq.com"</f>
        <v>1306344427@qq.com</v>
      </c>
      <c r="P365" s="4">
        <f>""</f>
      </c>
      <c r="Q365" s="4" t="str">
        <f>"2017.07.01"</f>
        <v>2017.07.01</v>
      </c>
      <c r="R365" s="4" t="str">
        <f t="shared" si="111"/>
        <v>是</v>
      </c>
      <c r="S365" s="4" t="str">
        <f>"4:高级中学"</f>
        <v>4:高级中学</v>
      </c>
      <c r="T365" s="4" t="str">
        <f>"暂无"</f>
        <v>暂无</v>
      </c>
      <c r="U365" s="4" t="str">
        <f>"暂无"</f>
        <v>暂无</v>
      </c>
      <c r="V365" s="4" t="str">
        <f t="shared" si="102"/>
        <v>小学</v>
      </c>
      <c r="W365" s="4" t="str">
        <f t="shared" si="112"/>
        <v>103:数学</v>
      </c>
      <c r="X365" s="4" t="str">
        <f t="shared" si="107"/>
        <v>通过</v>
      </c>
    </row>
    <row r="366" spans="1:24" s="1" customFormat="1" ht="71.25">
      <c r="A366" s="4" t="str">
        <f>"69"</f>
        <v>69</v>
      </c>
      <c r="B366" s="4" t="str">
        <f>"农艳红"</f>
        <v>农艳红</v>
      </c>
      <c r="C366" s="4" t="str">
        <f>"女        "</f>
        <v>女        </v>
      </c>
      <c r="D366" s="4" t="str">
        <f>"壮族"</f>
        <v>壮族</v>
      </c>
      <c r="E366" s="4" t="str">
        <f>"广西"</f>
        <v>广西</v>
      </c>
      <c r="F366" s="4" t="str">
        <f>"1992年12月"</f>
        <v>1992年12月</v>
      </c>
      <c r="G366" s="4" t="str">
        <f>"共青团员"</f>
        <v>共青团员</v>
      </c>
      <c r="H366" s="4" t="str">
        <f>"452627199212042587"</f>
        <v>452627199212042587</v>
      </c>
      <c r="I366" s="4" t="str">
        <f>"广西幼儿师范高等专科学校学前体育"</f>
        <v>广西幼儿师范高等专科学校学前体育</v>
      </c>
      <c r="J366" s="4" t="str">
        <f>"学前体育"</f>
        <v>学前体育</v>
      </c>
      <c r="K366" s="4" t="str">
        <f>"专科学士"</f>
        <v>专科学士</v>
      </c>
      <c r="L366" s="4" t="str">
        <f>"18377101712"</f>
        <v>18377101712</v>
      </c>
      <c r="M366" s="4" t="str">
        <f t="shared" si="106"/>
        <v>隆林县</v>
      </c>
      <c r="N366" s="4" t="str">
        <f>"广西百色市那坡县百都乡红泥村各俄屯"</f>
        <v>广西百色市那坡县百都乡红泥村各俄屯</v>
      </c>
      <c r="O366" s="4" t="str">
        <f>"871377954@qq.com"</f>
        <v>871377954@qq.com</v>
      </c>
      <c r="P366" s="4" t="str">
        <f>"2015.09.01"</f>
        <v>2015.09.01</v>
      </c>
      <c r="Q366" s="4" t="str">
        <f>"2015.06.01"</f>
        <v>2015.06.01</v>
      </c>
      <c r="R366" s="4" t="str">
        <f t="shared" si="111"/>
        <v>是</v>
      </c>
      <c r="S366" s="4" t="str">
        <f>"2:小学"</f>
        <v>2:小学</v>
      </c>
      <c r="T366" s="4" t="str">
        <f>"正在申办中"</f>
        <v>正在申办中</v>
      </c>
      <c r="U366" s="4" t="str">
        <f>"142201201506002186"</f>
        <v>142201201506002186</v>
      </c>
      <c r="V366" s="4" t="str">
        <f t="shared" si="102"/>
        <v>小学</v>
      </c>
      <c r="W366" s="4" t="str">
        <f t="shared" si="112"/>
        <v>103:数学</v>
      </c>
      <c r="X366" s="4" t="str">
        <f t="shared" si="107"/>
        <v>通过</v>
      </c>
    </row>
    <row r="367" spans="1:24" s="1" customFormat="1" ht="71.25">
      <c r="A367" s="4" t="str">
        <f>"70"</f>
        <v>70</v>
      </c>
      <c r="B367" s="4" t="str">
        <f>"代聪雪"</f>
        <v>代聪雪</v>
      </c>
      <c r="C367" s="4" t="str">
        <f>"女        "</f>
        <v>女        </v>
      </c>
      <c r="D367" s="4" t="str">
        <f>"汉族"</f>
        <v>汉族</v>
      </c>
      <c r="E367" s="4" t="str">
        <f>"云南大理"</f>
        <v>云南大理</v>
      </c>
      <c r="F367" s="4" t="str">
        <f>"1992年04月"</f>
        <v>1992年04月</v>
      </c>
      <c r="G367" s="4" t="str">
        <f>"共青团员"</f>
        <v>共青团员</v>
      </c>
      <c r="H367" s="4" t="str">
        <f>"532924199204171140"</f>
        <v>532924199204171140</v>
      </c>
      <c r="I367" s="4" t="str">
        <f>"云南师范大学金融学"</f>
        <v>云南师范大学金融学</v>
      </c>
      <c r="J367" s="4" t="str">
        <f>"金融学"</f>
        <v>金融学</v>
      </c>
      <c r="K367" s="4" t="str">
        <f>"本科学士"</f>
        <v>本科学士</v>
      </c>
      <c r="L367" s="4" t="str">
        <f>"18387102265"</f>
        <v>18387102265</v>
      </c>
      <c r="M367" s="4" t="str">
        <f t="shared" si="106"/>
        <v>隆林县</v>
      </c>
      <c r="N367" s="4" t="str">
        <f>"云南省大理白族自治州宾川县州城镇华侨社区"</f>
        <v>云南省大理白族自治州宾川县州城镇华侨社区</v>
      </c>
      <c r="O367" s="4" t="str">
        <f>"1162114156@qq.com"</f>
        <v>1162114156@qq.com</v>
      </c>
      <c r="P367" s="4" t="str">
        <f>"2014.07.01"</f>
        <v>2014.07.01</v>
      </c>
      <c r="Q367" s="4" t="str">
        <f>"2015.07.01"</f>
        <v>2015.07.01</v>
      </c>
      <c r="R367" s="4" t="str">
        <f>"不是"</f>
        <v>不是</v>
      </c>
      <c r="S367" s="4" t="str">
        <f>"2:小学"</f>
        <v>2:小学</v>
      </c>
      <c r="T367" s="4" t="str">
        <f>"20175310122000008"</f>
        <v>20175310122000008</v>
      </c>
      <c r="U367" s="4" t="str">
        <f>"106811201505005759"</f>
        <v>106811201505005759</v>
      </c>
      <c r="V367" s="4" t="str">
        <f t="shared" si="102"/>
        <v>小学</v>
      </c>
      <c r="W367" s="4" t="str">
        <f t="shared" si="112"/>
        <v>103:数学</v>
      </c>
      <c r="X367" s="4" t="str">
        <f t="shared" si="107"/>
        <v>通过</v>
      </c>
    </row>
    <row r="368" spans="1:24" s="1" customFormat="1" ht="71.25">
      <c r="A368" s="4" t="str">
        <f>"71"</f>
        <v>71</v>
      </c>
      <c r="B368" s="4" t="str">
        <f>"黄高鹏"</f>
        <v>黄高鹏</v>
      </c>
      <c r="C368" s="4" t="str">
        <f>"男        "</f>
        <v>男        </v>
      </c>
      <c r="D368" s="4" t="str">
        <f>"壮族"</f>
        <v>壮族</v>
      </c>
      <c r="E368" s="4" t="str">
        <f>"广西靖西"</f>
        <v>广西靖西</v>
      </c>
      <c r="F368" s="4" t="str">
        <f>"1991年11月"</f>
        <v>1991年11月</v>
      </c>
      <c r="G368" s="4" t="str">
        <f>"共青团员"</f>
        <v>共青团员</v>
      </c>
      <c r="H368" s="4" t="str">
        <f>"452626199111081193"</f>
        <v>452626199111081193</v>
      </c>
      <c r="I368" s="4" t="str">
        <f>"柳州师范高等专科学校数学教育"</f>
        <v>柳州师范高等专科学校数学教育</v>
      </c>
      <c r="J368" s="4" t="str">
        <f>"数学教育"</f>
        <v>数学教育</v>
      </c>
      <c r="K368" s="4" t="str">
        <f>"专科无学位"</f>
        <v>专科无学位</v>
      </c>
      <c r="L368" s="4" t="str">
        <f>"15678093662"</f>
        <v>15678093662</v>
      </c>
      <c r="M368" s="4" t="str">
        <f t="shared" si="106"/>
        <v>隆林县</v>
      </c>
      <c r="N368" s="4" t="str">
        <f>"广西百色市靖西市岳圩镇四明村内巡屯"</f>
        <v>广西百色市靖西市岳圩镇四明村内巡屯</v>
      </c>
      <c r="O368" s="4" t="str">
        <f>"2212853526@qq.com"</f>
        <v>2212853526@qq.com</v>
      </c>
      <c r="P368" s="4" t="str">
        <f>"2014.09.01"</f>
        <v>2014.09.01</v>
      </c>
      <c r="Q368" s="4" t="str">
        <f>"2014.07.01"</f>
        <v>2014.07.01</v>
      </c>
      <c r="R368" s="4" t="str">
        <f>"是"</f>
        <v>是</v>
      </c>
      <c r="S368" s="4" t="str">
        <f>"3:初级中学"</f>
        <v>3:初级中学</v>
      </c>
      <c r="T368" s="4" t="str">
        <f>"20144520031000298"</f>
        <v>20144520031000298</v>
      </c>
      <c r="U368" s="4" t="str">
        <f>"115461201406152826"</f>
        <v>115461201406152826</v>
      </c>
      <c r="V368" s="4" t="str">
        <f t="shared" si="102"/>
        <v>小学</v>
      </c>
      <c r="W368" s="4" t="str">
        <f t="shared" si="112"/>
        <v>103:数学</v>
      </c>
      <c r="X368" s="4" t="str">
        <f t="shared" si="107"/>
        <v>通过</v>
      </c>
    </row>
    <row r="369" spans="1:24" s="1" customFormat="1" ht="57">
      <c r="A369" s="4" t="str">
        <f>"72"</f>
        <v>72</v>
      </c>
      <c r="B369" s="4" t="str">
        <f>"鄢军"</f>
        <v>鄢军</v>
      </c>
      <c r="C369" s="4" t="str">
        <f>"男        "</f>
        <v>男        </v>
      </c>
      <c r="D369" s="4" t="str">
        <f>"汉族"</f>
        <v>汉族</v>
      </c>
      <c r="E369" s="4" t="str">
        <f>"广西隆林"</f>
        <v>广西隆林</v>
      </c>
      <c r="F369" s="4" t="str">
        <f>"1991年07月"</f>
        <v>1991年07月</v>
      </c>
      <c r="G369" s="4" t="str">
        <f>"中共党员"</f>
        <v>中共党员</v>
      </c>
      <c r="H369" s="4" t="str">
        <f>"452631199107122934"</f>
        <v>452631199107122934</v>
      </c>
      <c r="I369" s="4" t="str">
        <f>"百色学院金属材料工程"</f>
        <v>百色学院金属材料工程</v>
      </c>
      <c r="J369" s="4" t="str">
        <f>"金属材料工程"</f>
        <v>金属材料工程</v>
      </c>
      <c r="K369" s="4" t="str">
        <f>"本科学士"</f>
        <v>本科学士</v>
      </c>
      <c r="L369" s="4" t="str">
        <f>"18777616514"</f>
        <v>18777616514</v>
      </c>
      <c r="M369" s="4" t="str">
        <f t="shared" si="106"/>
        <v>隆林县</v>
      </c>
      <c r="N369" s="4" t="str">
        <f>"广西百色隆林县新州镇民强村六我屯"</f>
        <v>广西百色隆林县新州镇民强村六我屯</v>
      </c>
      <c r="O369" s="4" t="str">
        <f>"1293839819@qq.com"</f>
        <v>1293839819@qq.com</v>
      </c>
      <c r="P369" s="4" t="str">
        <f>"2015.09.01"</f>
        <v>2015.09.01</v>
      </c>
      <c r="Q369" s="4" t="str">
        <f>"2015.06.01"</f>
        <v>2015.06.01</v>
      </c>
      <c r="R369" s="4" t="str">
        <f>"不是"</f>
        <v>不是</v>
      </c>
      <c r="S369" s="4" t="str">
        <f>"2:小学"</f>
        <v>2:小学</v>
      </c>
      <c r="T369" s="4" t="str">
        <f>"2017452016485"</f>
        <v>2017452016485</v>
      </c>
      <c r="U369" s="4" t="str">
        <f>"106091201505001151"</f>
        <v>106091201505001151</v>
      </c>
      <c r="V369" s="4" t="str">
        <f t="shared" si="102"/>
        <v>小学</v>
      </c>
      <c r="W369" s="4" t="str">
        <f t="shared" si="112"/>
        <v>103:数学</v>
      </c>
      <c r="X369" s="4" t="str">
        <f t="shared" si="107"/>
        <v>通过</v>
      </c>
    </row>
    <row r="370" spans="1:24" s="1" customFormat="1" ht="85.5">
      <c r="A370" s="4" t="str">
        <f>"73"</f>
        <v>73</v>
      </c>
      <c r="B370" s="4" t="str">
        <f>"王文妮"</f>
        <v>王文妮</v>
      </c>
      <c r="C370" s="4" t="str">
        <f>"女        "</f>
        <v>女        </v>
      </c>
      <c r="D370" s="4" t="str">
        <f>"壮族"</f>
        <v>壮族</v>
      </c>
      <c r="E370" s="4" t="str">
        <f>"广西隆林县"</f>
        <v>广西隆林县</v>
      </c>
      <c r="F370" s="4" t="str">
        <f>"1992年01月"</f>
        <v>1992年01月</v>
      </c>
      <c r="G370" s="4" t="str">
        <f>"共青团员"</f>
        <v>共青团员</v>
      </c>
      <c r="H370" s="4" t="str">
        <f>"452631199201012942"</f>
        <v>452631199201012942</v>
      </c>
      <c r="I370" s="4" t="str">
        <f>"广西民族师范学院学前教育"</f>
        <v>广西民族师范学院学前教育</v>
      </c>
      <c r="J370" s="4" t="str">
        <f>"学前教育"</f>
        <v>学前教育</v>
      </c>
      <c r="K370" s="4" t="str">
        <f>"本科学士"</f>
        <v>本科学士</v>
      </c>
      <c r="L370" s="4" t="str">
        <f>"15676065202"</f>
        <v>15676065202</v>
      </c>
      <c r="M370" s="4" t="str">
        <f t="shared" si="106"/>
        <v>隆林县</v>
      </c>
      <c r="N370" s="4" t="str">
        <f>"广西隆林各族自治县金钟山乡乌冲村那棚屯007号"</f>
        <v>广西隆林各族自治县金钟山乡乌冲村那棚屯007号</v>
      </c>
      <c r="O370" s="4" t="str">
        <f>"450977467@qq.com"</f>
        <v>450977467@qq.com</v>
      </c>
      <c r="P370" s="4" t="str">
        <f>"2017.03.01"</f>
        <v>2017.03.01</v>
      </c>
      <c r="Q370" s="4" t="str">
        <f>"2017.07.01"</f>
        <v>2017.07.01</v>
      </c>
      <c r="R370" s="4" t="str">
        <f>"是"</f>
        <v>是</v>
      </c>
      <c r="S370" s="4" t="str">
        <f>"1:幼儿园"</f>
        <v>1:幼儿园</v>
      </c>
      <c r="T370" s="4" t="str">
        <f>"暂无"</f>
        <v>暂无</v>
      </c>
      <c r="U370" s="4" t="str">
        <f>"暂无"</f>
        <v>暂无</v>
      </c>
      <c r="V370" s="4" t="str">
        <f t="shared" si="102"/>
        <v>小学</v>
      </c>
      <c r="W370" s="4" t="str">
        <f t="shared" si="112"/>
        <v>103:数学</v>
      </c>
      <c r="X370" s="4" t="str">
        <f t="shared" si="107"/>
        <v>通过</v>
      </c>
    </row>
    <row r="371" spans="1:24" s="1" customFormat="1" ht="71.25">
      <c r="A371" s="4" t="str">
        <f>"74"</f>
        <v>74</v>
      </c>
      <c r="B371" s="4" t="str">
        <f>"欧阳红"</f>
        <v>欧阳红</v>
      </c>
      <c r="C371" s="4" t="str">
        <f>"女        "</f>
        <v>女        </v>
      </c>
      <c r="D371" s="4" t="str">
        <f>"壮族"</f>
        <v>壮族</v>
      </c>
      <c r="E371" s="4" t="str">
        <f>"广西隆林"</f>
        <v>广西隆林</v>
      </c>
      <c r="F371" s="4" t="str">
        <f>"1992年11月"</f>
        <v>1992年11月</v>
      </c>
      <c r="G371" s="4" t="str">
        <f>"中共党员"</f>
        <v>中共党员</v>
      </c>
      <c r="H371" s="4" t="str">
        <f>"452631199211293645"</f>
        <v>452631199211293645</v>
      </c>
      <c r="I371" s="4" t="str">
        <f>"广西财经学院会计学"</f>
        <v>广西财经学院会计学</v>
      </c>
      <c r="J371" s="4" t="str">
        <f>"会计学"</f>
        <v>会计学</v>
      </c>
      <c r="K371" s="4" t="str">
        <f>"本科学士"</f>
        <v>本科学士</v>
      </c>
      <c r="L371" s="4" t="str">
        <f>"18376728756"</f>
        <v>18376728756</v>
      </c>
      <c r="M371" s="4" t="str">
        <f t="shared" si="106"/>
        <v>隆林县</v>
      </c>
      <c r="N371" s="4" t="str">
        <f>"广西隆林各族自治县猪场乡那伟村那伟社16号"</f>
        <v>广西隆林各族自治县猪场乡那伟村那伟社16号</v>
      </c>
      <c r="O371" s="4" t="str">
        <f>"1508686595@qq.com"</f>
        <v>1508686595@qq.com</v>
      </c>
      <c r="P371" s="4">
        <f>""</f>
      </c>
      <c r="Q371" s="4" t="str">
        <f>"2017.07.01"</f>
        <v>2017.07.01</v>
      </c>
      <c r="R371" s="4" t="str">
        <f>"不是"</f>
        <v>不是</v>
      </c>
      <c r="S371" s="4" t="str">
        <f>"0:暂未取得"</f>
        <v>0:暂未取得</v>
      </c>
      <c r="T371" s="4" t="str">
        <f>"2017届毕业生填暂无"</f>
        <v>2017届毕业生填暂无</v>
      </c>
      <c r="U371" s="4" t="str">
        <f>"2017届毕业生填暂无"</f>
        <v>2017届毕业生填暂无</v>
      </c>
      <c r="V371" s="4" t="str">
        <f t="shared" si="102"/>
        <v>小学</v>
      </c>
      <c r="W371" s="4" t="str">
        <f t="shared" si="112"/>
        <v>103:数学</v>
      </c>
      <c r="X371" s="4" t="str">
        <f t="shared" si="107"/>
        <v>通过</v>
      </c>
    </row>
    <row r="372" spans="1:24" s="1" customFormat="1" ht="71.25">
      <c r="A372" s="4" t="str">
        <f>"75"</f>
        <v>75</v>
      </c>
      <c r="B372" s="4" t="str">
        <f>"李娘龙"</f>
        <v>李娘龙</v>
      </c>
      <c r="C372" s="4" t="str">
        <f>"男        "</f>
        <v>男        </v>
      </c>
      <c r="D372" s="4" t="str">
        <f>"哈尼族"</f>
        <v>哈尼族</v>
      </c>
      <c r="E372" s="4" t="str">
        <f>"中国云南"</f>
        <v>中国云南</v>
      </c>
      <c r="F372" s="4" t="str">
        <f>"1992年08月"</f>
        <v>1992年08月</v>
      </c>
      <c r="G372" s="4" t="str">
        <f>"共青团员"</f>
        <v>共青团员</v>
      </c>
      <c r="H372" s="4" t="str">
        <f>"532531199208241611"</f>
        <v>532531199208241611</v>
      </c>
      <c r="I372" s="4" t="str">
        <f>"丽江师范高等专科学校英语教育"</f>
        <v>丽江师范高等专科学校英语教育</v>
      </c>
      <c r="J372" s="4" t="str">
        <f>"英语教育"</f>
        <v>英语教育</v>
      </c>
      <c r="K372" s="4" t="str">
        <f>"专科无学位"</f>
        <v>专科无学位</v>
      </c>
      <c r="L372" s="4" t="str">
        <f>"18760763043"</f>
        <v>18760763043</v>
      </c>
      <c r="M372" s="4" t="str">
        <f t="shared" si="106"/>
        <v>隆林县</v>
      </c>
      <c r="N372" s="4" t="str">
        <f>"云南省红河州绿春县三猛乡腊姑村委会佰红村"</f>
        <v>云南省红河州绿春县三猛乡腊姑村委会佰红村</v>
      </c>
      <c r="O372" s="4" t="str">
        <f>"527426044@qq.com"</f>
        <v>527426044@qq.com</v>
      </c>
      <c r="P372" s="4">
        <f>""</f>
      </c>
      <c r="Q372" s="4" t="str">
        <f>"2014.07.01"</f>
        <v>2014.07.01</v>
      </c>
      <c r="R372" s="4" t="str">
        <f>"是"</f>
        <v>是</v>
      </c>
      <c r="S372" s="4" t="str">
        <f>"3:初级中学"</f>
        <v>3:初级中学</v>
      </c>
      <c r="T372" s="4" t="str">
        <f>"20175307131000030"</f>
        <v>20175307131000030</v>
      </c>
      <c r="U372" s="4" t="str">
        <f>"140151201406001529"</f>
        <v>140151201406001529</v>
      </c>
      <c r="V372" s="4" t="str">
        <f t="shared" si="102"/>
        <v>小学</v>
      </c>
      <c r="W372" s="4" t="str">
        <f t="shared" si="112"/>
        <v>103:数学</v>
      </c>
      <c r="X372" s="4" t="str">
        <f t="shared" si="107"/>
        <v>通过</v>
      </c>
    </row>
    <row r="373" spans="1:24" s="1" customFormat="1" ht="71.25">
      <c r="A373" s="4" t="str">
        <f>"76"</f>
        <v>76</v>
      </c>
      <c r="B373" s="4" t="str">
        <f>"杨安宁"</f>
        <v>杨安宁</v>
      </c>
      <c r="C373" s="4" t="str">
        <f>"男        "</f>
        <v>男        </v>
      </c>
      <c r="D373" s="4" t="str">
        <f>"苗族"</f>
        <v>苗族</v>
      </c>
      <c r="E373" s="4" t="str">
        <f>"广西百色隆林"</f>
        <v>广西百色隆林</v>
      </c>
      <c r="F373" s="4" t="str">
        <f>"1992年07月"</f>
        <v>1992年07月</v>
      </c>
      <c r="G373" s="4" t="str">
        <f>"共青团员"</f>
        <v>共青团员</v>
      </c>
      <c r="H373" s="4" t="str">
        <f>"452631199207173413"</f>
        <v>452631199207173413</v>
      </c>
      <c r="I373" s="4" t="str">
        <f>"广西民族大学公共事业管理"</f>
        <v>广西民族大学公共事业管理</v>
      </c>
      <c r="J373" s="4" t="str">
        <f>"公共事业管理"</f>
        <v>公共事业管理</v>
      </c>
      <c r="K373" s="4" t="str">
        <f>"本科学士"</f>
        <v>本科学士</v>
      </c>
      <c r="L373" s="4" t="str">
        <f>"18776962906"</f>
        <v>18776962906</v>
      </c>
      <c r="M373" s="4" t="str">
        <f t="shared" si="106"/>
        <v>隆林县</v>
      </c>
      <c r="N373" s="4" t="str">
        <f>"广西百色市隆林县德峨镇常么村大寨屯03号"</f>
        <v>广西百色市隆林县德峨镇常么村大寨屯03号</v>
      </c>
      <c r="O373" s="4" t="str">
        <f>"1278983998@qq.com"</f>
        <v>1278983998@qq.com</v>
      </c>
      <c r="P373" s="4">
        <f>""</f>
      </c>
      <c r="Q373" s="4" t="str">
        <f>"2017.07.01"</f>
        <v>2017.07.01</v>
      </c>
      <c r="R373" s="4" t="str">
        <f>"不是"</f>
        <v>不是</v>
      </c>
      <c r="S373" s="4" t="str">
        <f>"3:初级中学"</f>
        <v>3:初级中学</v>
      </c>
      <c r="T373" s="4" t="str">
        <f>"2017届毕业生填暂无"</f>
        <v>2017届毕业生填暂无</v>
      </c>
      <c r="U373" s="4" t="str">
        <f>"2017届毕业生填暂无"</f>
        <v>2017届毕业生填暂无</v>
      </c>
      <c r="V373" s="4" t="str">
        <f aca="true" t="shared" si="113" ref="V373:V392">"小学"</f>
        <v>小学</v>
      </c>
      <c r="W373" s="4" t="str">
        <f t="shared" si="112"/>
        <v>103:数学</v>
      </c>
      <c r="X373" s="4" t="str">
        <f t="shared" si="107"/>
        <v>通过</v>
      </c>
    </row>
    <row r="374" spans="1:24" s="1" customFormat="1" ht="99.75">
      <c r="A374" s="4" t="str">
        <f>"77"</f>
        <v>77</v>
      </c>
      <c r="B374" s="4" t="str">
        <f>"王丽"</f>
        <v>王丽</v>
      </c>
      <c r="C374" s="4" t="str">
        <f>"女        "</f>
        <v>女        </v>
      </c>
      <c r="D374" s="4" t="str">
        <f>"壮族"</f>
        <v>壮族</v>
      </c>
      <c r="E374" s="4" t="str">
        <f>"广西隆林"</f>
        <v>广西隆林</v>
      </c>
      <c r="F374" s="4" t="str">
        <f>"1995年07月"</f>
        <v>1995年07月</v>
      </c>
      <c r="G374" s="4" t="str">
        <f>"共青团员"</f>
        <v>共青团员</v>
      </c>
      <c r="H374" s="4" t="str">
        <f>"452631199507170521"</f>
        <v>452631199507170521</v>
      </c>
      <c r="I374" s="4" t="str">
        <f>"攀枝花学院环境设计"</f>
        <v>攀枝花学院环境设计</v>
      </c>
      <c r="J374" s="4" t="str">
        <f>"环境设计"</f>
        <v>环境设计</v>
      </c>
      <c r="K374" s="4" t="str">
        <f>"本科学士"</f>
        <v>本科学士</v>
      </c>
      <c r="L374" s="4" t="str">
        <f>"15077396547"</f>
        <v>15077396547</v>
      </c>
      <c r="M374" s="4" t="str">
        <f t="shared" si="106"/>
        <v>隆林县</v>
      </c>
      <c r="N374" s="4" t="str">
        <f>"广西省百色市隆林各族自治县沙梨乡沙梨村者岭一社108号"</f>
        <v>广西省百色市隆林各族自治县沙梨乡沙梨村者岭一社108号</v>
      </c>
      <c r="O374" s="4" t="str">
        <f>"972817581@qq.com"</f>
        <v>972817581@qq.com</v>
      </c>
      <c r="P374" s="4">
        <f>""</f>
      </c>
      <c r="Q374" s="4" t="str">
        <f>"2017.06.01"</f>
        <v>2017.06.01</v>
      </c>
      <c r="R374" s="4" t="str">
        <f>"不是"</f>
        <v>不是</v>
      </c>
      <c r="S374" s="4" t="str">
        <f>"0:暂未取得"</f>
        <v>0:暂未取得</v>
      </c>
      <c r="T374" s="4" t="str">
        <f>"无"</f>
        <v>无</v>
      </c>
      <c r="U374" s="4" t="str">
        <f>"无"</f>
        <v>无</v>
      </c>
      <c r="V374" s="4" t="str">
        <f t="shared" si="113"/>
        <v>小学</v>
      </c>
      <c r="W374" s="4" t="str">
        <f t="shared" si="112"/>
        <v>103:数学</v>
      </c>
      <c r="X374" s="4" t="str">
        <f t="shared" si="107"/>
        <v>通过</v>
      </c>
    </row>
    <row r="375" spans="1:24" s="1" customFormat="1" ht="57">
      <c r="A375" s="4" t="str">
        <f>"78"</f>
        <v>78</v>
      </c>
      <c r="B375" s="4" t="str">
        <f>"聂祥兴"</f>
        <v>聂祥兴</v>
      </c>
      <c r="C375" s="4" t="str">
        <f>"男        "</f>
        <v>男        </v>
      </c>
      <c r="D375" s="4" t="str">
        <f>"汉族"</f>
        <v>汉族</v>
      </c>
      <c r="E375" s="4" t="str">
        <f>"贵州省贞丰县"</f>
        <v>贵州省贞丰县</v>
      </c>
      <c r="F375" s="4" t="str">
        <f>"1987年09月"</f>
        <v>1987年09月</v>
      </c>
      <c r="G375" s="4" t="str">
        <f>"中共党员"</f>
        <v>中共党员</v>
      </c>
      <c r="H375" s="4" t="str">
        <f>"522325198709241631"</f>
        <v>522325198709241631</v>
      </c>
      <c r="I375" s="4" t="str">
        <f>"兴义民族师范学院化学教育"</f>
        <v>兴义民族师范学院化学教育</v>
      </c>
      <c r="J375" s="4" t="str">
        <f>"化学教育"</f>
        <v>化学教育</v>
      </c>
      <c r="K375" s="4" t="str">
        <f>"专科无学位"</f>
        <v>专科无学位</v>
      </c>
      <c r="L375" s="4" t="str">
        <f>"18208644427"</f>
        <v>18208644427</v>
      </c>
      <c r="M375" s="4" t="str">
        <f t="shared" si="106"/>
        <v>隆林县</v>
      </c>
      <c r="N375" s="4" t="str">
        <f>"贵州省贞丰县龙场镇围寨村围寨组"</f>
        <v>贵州省贞丰县龙场镇围寨村围寨组</v>
      </c>
      <c r="O375" s="4" t="str">
        <f>"757830249@qq.com"</f>
        <v>757830249@qq.com</v>
      </c>
      <c r="P375" s="4">
        <f>""</f>
      </c>
      <c r="Q375" s="4" t="str">
        <f>"2014.07.01"</f>
        <v>2014.07.01</v>
      </c>
      <c r="R375" s="4" t="str">
        <f>"是"</f>
        <v>是</v>
      </c>
      <c r="S375" s="4" t="str">
        <f>"3:初级中学"</f>
        <v>3:初级中学</v>
      </c>
      <c r="T375" s="4" t="str">
        <f>"20145290131000024"</f>
        <v>20145290131000024</v>
      </c>
      <c r="U375" s="4" t="str">
        <f>"106661201406000170"</f>
        <v>106661201406000170</v>
      </c>
      <c r="V375" s="4" t="str">
        <f t="shared" si="113"/>
        <v>小学</v>
      </c>
      <c r="W375" s="4" t="str">
        <f t="shared" si="112"/>
        <v>103:数学</v>
      </c>
      <c r="X375" s="4" t="str">
        <f t="shared" si="107"/>
        <v>通过</v>
      </c>
    </row>
    <row r="376" spans="1:24" s="1" customFormat="1" ht="71.25">
      <c r="A376" s="4" t="str">
        <f>"79"</f>
        <v>79</v>
      </c>
      <c r="B376" s="4" t="str">
        <f>"谢仕月"</f>
        <v>谢仕月</v>
      </c>
      <c r="C376" s="4" t="str">
        <f>"女        "</f>
        <v>女        </v>
      </c>
      <c r="D376" s="4" t="str">
        <f>"汉族"</f>
        <v>汉族</v>
      </c>
      <c r="E376" s="4" t="str">
        <f>"广西百色"</f>
        <v>广西百色</v>
      </c>
      <c r="F376" s="4" t="str">
        <f>"1994年04月"</f>
        <v>1994年04月</v>
      </c>
      <c r="G376" s="4" t="str">
        <f aca="true" t="shared" si="114" ref="G376:G391">"共青团员"</f>
        <v>共青团员</v>
      </c>
      <c r="H376" s="4" t="str">
        <f>"452631199404164882"</f>
        <v>452631199404164882</v>
      </c>
      <c r="I376" s="4" t="str">
        <f>"广西师范学院师园学院信息管理与信息系统"</f>
        <v>广西师范学院师园学院信息管理与信息系统</v>
      </c>
      <c r="J376" s="4" t="str">
        <f>"信息管理与信息系统"</f>
        <v>信息管理与信息系统</v>
      </c>
      <c r="K376" s="4" t="str">
        <f>"本科学士"</f>
        <v>本科学士</v>
      </c>
      <c r="L376" s="4" t="str">
        <f>"15723704863"</f>
        <v>15723704863</v>
      </c>
      <c r="M376" s="4" t="str">
        <f t="shared" si="106"/>
        <v>隆林县</v>
      </c>
      <c r="N376" s="4" t="str">
        <f>"广西隆林县介廷乡老寨村龙口屯"</f>
        <v>广西隆林县介廷乡老寨村龙口屯</v>
      </c>
      <c r="O376" s="4" t="str">
        <f>"497950237@qq.com"</f>
        <v>497950237@qq.com</v>
      </c>
      <c r="P376" s="4">
        <f>""</f>
      </c>
      <c r="Q376" s="4" t="str">
        <f>"2017.07.01"</f>
        <v>2017.07.01</v>
      </c>
      <c r="R376" s="4" t="str">
        <f>"不是"</f>
        <v>不是</v>
      </c>
      <c r="S376" s="4" t="str">
        <f>"0:暂未取得"</f>
        <v>0:暂未取得</v>
      </c>
      <c r="T376" s="4" t="str">
        <f>"无"</f>
        <v>无</v>
      </c>
      <c r="U376" s="4" t="str">
        <f>"无"</f>
        <v>无</v>
      </c>
      <c r="V376" s="4" t="str">
        <f t="shared" si="113"/>
        <v>小学</v>
      </c>
      <c r="W376" s="4" t="str">
        <f t="shared" si="112"/>
        <v>103:数学</v>
      </c>
      <c r="X376" s="4" t="str">
        <f t="shared" si="107"/>
        <v>通过</v>
      </c>
    </row>
    <row r="377" spans="1:24" s="1" customFormat="1" ht="57">
      <c r="A377" s="4" t="str">
        <f>"80"</f>
        <v>80</v>
      </c>
      <c r="B377" s="4" t="str">
        <f>"黄锦贺"</f>
        <v>黄锦贺</v>
      </c>
      <c r="C377" s="4" t="str">
        <f>"男        "</f>
        <v>男        </v>
      </c>
      <c r="D377" s="4" t="str">
        <f>"布依族"</f>
        <v>布依族</v>
      </c>
      <c r="E377" s="4" t="str">
        <f>"贵州省册亨县"</f>
        <v>贵州省册亨县</v>
      </c>
      <c r="F377" s="4" t="str">
        <f>"1991年05月"</f>
        <v>1991年05月</v>
      </c>
      <c r="G377" s="4" t="str">
        <f t="shared" si="114"/>
        <v>共青团员</v>
      </c>
      <c r="H377" s="4" t="str">
        <f>"522327199105221813"</f>
        <v>522327199105221813</v>
      </c>
      <c r="I377" s="4" t="str">
        <f>"兴义民族师范学院初等教育"</f>
        <v>兴义民族师范学院初等教育</v>
      </c>
      <c r="J377" s="4" t="str">
        <f>"初等教育"</f>
        <v>初等教育</v>
      </c>
      <c r="K377" s="4" t="str">
        <f>"专科无学位"</f>
        <v>专科无学位</v>
      </c>
      <c r="L377" s="4" t="str">
        <f>"15117302245"</f>
        <v>15117302245</v>
      </c>
      <c r="M377" s="4" t="str">
        <f t="shared" si="106"/>
        <v>隆林县</v>
      </c>
      <c r="N377" s="4" t="str">
        <f>"贵州省册亨县八渡镇和平村上组"</f>
        <v>贵州省册亨县八渡镇和平村上组</v>
      </c>
      <c r="O377" s="4" t="str">
        <f>"760315982@qq.com"</f>
        <v>760315982@qq.com</v>
      </c>
      <c r="P377" s="4">
        <f>""</f>
      </c>
      <c r="Q377" s="4" t="str">
        <f>"2015.07.01"</f>
        <v>2015.07.01</v>
      </c>
      <c r="R377" s="4" t="str">
        <f>"是"</f>
        <v>是</v>
      </c>
      <c r="S377" s="4" t="str">
        <f>"2:小学"</f>
        <v>2:小学</v>
      </c>
      <c r="T377" s="4" t="str">
        <f>"20155290121001417"</f>
        <v>20155290121001417</v>
      </c>
      <c r="U377" s="4" t="str">
        <f>"106661201506000100"</f>
        <v>106661201506000100</v>
      </c>
      <c r="V377" s="4" t="str">
        <f t="shared" si="113"/>
        <v>小学</v>
      </c>
      <c r="W377" s="4" t="str">
        <f t="shared" si="112"/>
        <v>103:数学</v>
      </c>
      <c r="X377" s="4" t="str">
        <f t="shared" si="107"/>
        <v>通过</v>
      </c>
    </row>
    <row r="378" spans="1:24" s="1" customFormat="1" ht="85.5">
      <c r="A378" s="4" t="str">
        <f>"79"</f>
        <v>79</v>
      </c>
      <c r="B378" s="4" t="str">
        <f>"侯金华"</f>
        <v>侯金华</v>
      </c>
      <c r="C378" s="4" t="str">
        <f>"男        "</f>
        <v>男        </v>
      </c>
      <c r="D378" s="4" t="str">
        <f>"苗族"</f>
        <v>苗族</v>
      </c>
      <c r="E378" s="4" t="str">
        <f>"云南省文山州广南县"</f>
        <v>云南省文山州广南县</v>
      </c>
      <c r="F378" s="4" t="str">
        <f>"1995年05月"</f>
        <v>1995年05月</v>
      </c>
      <c r="G378" s="4" t="str">
        <f t="shared" si="114"/>
        <v>共青团员</v>
      </c>
      <c r="H378" s="4" t="str">
        <f>"532627199505182110"</f>
        <v>532627199505182110</v>
      </c>
      <c r="I378" s="4" t="str">
        <f>"云南师范大学公共事业管理"</f>
        <v>云南师范大学公共事业管理</v>
      </c>
      <c r="J378" s="4" t="str">
        <f>"公共事业管理"</f>
        <v>公共事业管理</v>
      </c>
      <c r="K378" s="4" t="str">
        <f>"本科学士"</f>
        <v>本科学士</v>
      </c>
      <c r="L378" s="4" t="str">
        <f>"15912531561"</f>
        <v>15912531561</v>
      </c>
      <c r="M378" s="4" t="str">
        <f t="shared" si="106"/>
        <v>隆林县</v>
      </c>
      <c r="N378" s="4" t="str">
        <f>"云南省文山州广南县黑支果乡鼠街村委会新水湾村小组"</f>
        <v>云南省文山州广南县黑支果乡鼠街村委会新水湾村小组</v>
      </c>
      <c r="O378" s="4" t="str">
        <f>"2317951940@qq.com"</f>
        <v>2317951940@qq.com</v>
      </c>
      <c r="P378" s="4" t="str">
        <f>"2016.07.01"</f>
        <v>2016.07.01</v>
      </c>
      <c r="Q378" s="4" t="str">
        <f>"2017.07.01"</f>
        <v>2017.07.01</v>
      </c>
      <c r="R378" s="4" t="str">
        <f>"不是"</f>
        <v>不是</v>
      </c>
      <c r="S378" s="4" t="str">
        <f>"0:暂未取得"</f>
        <v>0:暂未取得</v>
      </c>
      <c r="T378" s="4" t="str">
        <f>"2017届毕业生填暂无"</f>
        <v>2017届毕业生填暂无</v>
      </c>
      <c r="U378" s="4" t="str">
        <f>"2017届毕业生填暂无"</f>
        <v>2017届毕业生填暂无</v>
      </c>
      <c r="V378" s="4" t="str">
        <f t="shared" si="113"/>
        <v>小学</v>
      </c>
      <c r="W378" s="4" t="str">
        <f t="shared" si="112"/>
        <v>103:数学</v>
      </c>
      <c r="X378" s="4" t="str">
        <f t="shared" si="107"/>
        <v>通过</v>
      </c>
    </row>
    <row r="379" spans="1:24" s="1" customFormat="1" ht="71.25">
      <c r="A379" s="4" t="str">
        <f>"80"</f>
        <v>80</v>
      </c>
      <c r="B379" s="4" t="str">
        <f>"韦达琳"</f>
        <v>韦达琳</v>
      </c>
      <c r="C379" s="4" t="str">
        <f>"女        "</f>
        <v>女        </v>
      </c>
      <c r="D379" s="4" t="str">
        <f>"壮族"</f>
        <v>壮族</v>
      </c>
      <c r="E379" s="4" t="str">
        <f>"广西隆林"</f>
        <v>广西隆林</v>
      </c>
      <c r="F379" s="4" t="str">
        <f>"1995年10月"</f>
        <v>1995年10月</v>
      </c>
      <c r="G379" s="4" t="str">
        <f t="shared" si="114"/>
        <v>共青团员</v>
      </c>
      <c r="H379" s="4" t="str">
        <f>"452631199510094144"</f>
        <v>452631199510094144</v>
      </c>
      <c r="I379" s="4" t="str">
        <f>"百色学院小学教育"</f>
        <v>百色学院小学教育</v>
      </c>
      <c r="J379" s="4" t="str">
        <f>"小学教育"</f>
        <v>小学教育</v>
      </c>
      <c r="K379" s="4" t="str">
        <f>"专科无学位"</f>
        <v>专科无学位</v>
      </c>
      <c r="L379" s="4" t="str">
        <f>"13788063421"</f>
        <v>13788063421</v>
      </c>
      <c r="M379" s="4" t="str">
        <f t="shared" si="106"/>
        <v>隆林县</v>
      </c>
      <c r="N379" s="4" t="str">
        <f>"广西省百色市隆林县克长乡和平村"</f>
        <v>广西省百色市隆林县克长乡和平村</v>
      </c>
      <c r="O379" s="4" t="str">
        <f>"1760511741@qq.com"</f>
        <v>1760511741@qq.com</v>
      </c>
      <c r="P379" s="4">
        <f>""</f>
      </c>
      <c r="Q379" s="4" t="str">
        <f>"2017.06.01"</f>
        <v>2017.06.01</v>
      </c>
      <c r="R379" s="4" t="str">
        <f>"是"</f>
        <v>是</v>
      </c>
      <c r="S379" s="4" t="str">
        <f>"0:暂未取得"</f>
        <v>0:暂未取得</v>
      </c>
      <c r="T379" s="4" t="str">
        <f>"2017届毕业生填暂无"</f>
        <v>2017届毕业生填暂无</v>
      </c>
      <c r="U379" s="4" t="str">
        <f>"2017届毕业生填暂无"</f>
        <v>2017届毕业生填暂无</v>
      </c>
      <c r="V379" s="4" t="str">
        <f t="shared" si="113"/>
        <v>小学</v>
      </c>
      <c r="W379" s="4" t="str">
        <f t="shared" si="112"/>
        <v>103:数学</v>
      </c>
      <c r="X379" s="4" t="str">
        <f t="shared" si="107"/>
        <v>通过</v>
      </c>
    </row>
    <row r="380" spans="1:24" s="1" customFormat="1" ht="85.5">
      <c r="A380" s="4" t="str">
        <f>"79"</f>
        <v>79</v>
      </c>
      <c r="B380" s="4" t="str">
        <f>"胡周云"</f>
        <v>胡周云</v>
      </c>
      <c r="C380" s="4" t="str">
        <f>"男        "</f>
        <v>男        </v>
      </c>
      <c r="D380" s="4" t="str">
        <f>"白族"</f>
        <v>白族</v>
      </c>
      <c r="E380" s="4" t="str">
        <f>"云南保山"</f>
        <v>云南保山</v>
      </c>
      <c r="F380" s="4" t="str">
        <f>"1995年08月"</f>
        <v>1995年08月</v>
      </c>
      <c r="G380" s="4" t="str">
        <f t="shared" si="114"/>
        <v>共青团员</v>
      </c>
      <c r="H380" s="4" t="str">
        <f>"53300119950815243X"</f>
        <v>53300119950815243X</v>
      </c>
      <c r="I380" s="4" t="str">
        <f>"保山学院数学教育"</f>
        <v>保山学院数学教育</v>
      </c>
      <c r="J380" s="4" t="str">
        <f>"数学教育"</f>
        <v>数学教育</v>
      </c>
      <c r="K380" s="4" t="str">
        <f>"专科无学位"</f>
        <v>专科无学位</v>
      </c>
      <c r="L380" s="4" t="str">
        <f>"15987510412"</f>
        <v>15987510412</v>
      </c>
      <c r="M380" s="4" t="str">
        <f t="shared" si="106"/>
        <v>隆林县</v>
      </c>
      <c r="N380" s="4" t="str">
        <f>"云南省保山市隆阳区芒宽乡西亚村委会盐场一组"</f>
        <v>云南省保山市隆阳区芒宽乡西亚村委会盐场一组</v>
      </c>
      <c r="O380" s="4" t="str">
        <f>"1944310153@qq.com"</f>
        <v>1944310153@qq.com</v>
      </c>
      <c r="P380" s="4">
        <f>""</f>
      </c>
      <c r="Q380" s="4" t="str">
        <f>"2017.06.01"</f>
        <v>2017.06.01</v>
      </c>
      <c r="R380" s="4" t="str">
        <f>"是"</f>
        <v>是</v>
      </c>
      <c r="S380" s="4" t="str">
        <f>"3:初级中学"</f>
        <v>3:初级中学</v>
      </c>
      <c r="T380" s="4" t="str">
        <f>"无"</f>
        <v>无</v>
      </c>
      <c r="U380" s="4" t="str">
        <f>"无"</f>
        <v>无</v>
      </c>
      <c r="V380" s="4" t="str">
        <f t="shared" si="113"/>
        <v>小学</v>
      </c>
      <c r="W380" s="4" t="str">
        <f t="shared" si="112"/>
        <v>103:数学</v>
      </c>
      <c r="X380" s="4" t="str">
        <f t="shared" si="107"/>
        <v>通过</v>
      </c>
    </row>
    <row r="381" spans="1:24" s="1" customFormat="1" ht="71.25">
      <c r="A381" s="4" t="str">
        <f>"80"</f>
        <v>80</v>
      </c>
      <c r="B381" s="4" t="str">
        <f>"黄隆治"</f>
        <v>黄隆治</v>
      </c>
      <c r="C381" s="4" t="str">
        <f>"男        "</f>
        <v>男        </v>
      </c>
      <c r="D381" s="4" t="str">
        <f aca="true" t="shared" si="115" ref="D381:D386">"汉族"</f>
        <v>汉族</v>
      </c>
      <c r="E381" s="4" t="str">
        <f>"广西隆林"</f>
        <v>广西隆林</v>
      </c>
      <c r="F381" s="4" t="str">
        <f>"1994年04月"</f>
        <v>1994年04月</v>
      </c>
      <c r="G381" s="4" t="str">
        <f t="shared" si="114"/>
        <v>共青团员</v>
      </c>
      <c r="H381" s="4" t="str">
        <f>"452631199404094132"</f>
        <v>452631199404094132</v>
      </c>
      <c r="I381" s="4" t="str">
        <f>"广西民族大学电子信息工程"</f>
        <v>广西民族大学电子信息工程</v>
      </c>
      <c r="J381" s="4" t="str">
        <f>"电子信息工程"</f>
        <v>电子信息工程</v>
      </c>
      <c r="K381" s="4" t="str">
        <f>"本科学士"</f>
        <v>本科学士</v>
      </c>
      <c r="L381" s="4" t="str">
        <f>"15678106718"</f>
        <v>15678106718</v>
      </c>
      <c r="M381" s="4" t="str">
        <f t="shared" si="106"/>
        <v>隆林县</v>
      </c>
      <c r="N381" s="4" t="str">
        <f>"广西百色市隆林各族自治县克长乡海长村7队"</f>
        <v>广西百色市隆林各族自治县克长乡海长村7队</v>
      </c>
      <c r="O381" s="4" t="str">
        <f>"1462487551@qq.com"</f>
        <v>1462487551@qq.com</v>
      </c>
      <c r="P381" s="4">
        <f>""</f>
      </c>
      <c r="Q381" s="4" t="str">
        <f>"2017.07.01"</f>
        <v>2017.07.01</v>
      </c>
      <c r="R381" s="4" t="str">
        <f>"不是"</f>
        <v>不是</v>
      </c>
      <c r="S381" s="4" t="str">
        <f>"0:暂未取得"</f>
        <v>0:暂未取得</v>
      </c>
      <c r="T381" s="4" t="str">
        <f>"无"</f>
        <v>无</v>
      </c>
      <c r="U381" s="4" t="str">
        <f>"无"</f>
        <v>无</v>
      </c>
      <c r="V381" s="4" t="str">
        <f t="shared" si="113"/>
        <v>小学</v>
      </c>
      <c r="W381" s="4" t="str">
        <f t="shared" si="112"/>
        <v>103:数学</v>
      </c>
      <c r="X381" s="4" t="str">
        <f t="shared" si="107"/>
        <v>通过</v>
      </c>
    </row>
    <row r="382" spans="1:24" s="1" customFormat="1" ht="71.25">
      <c r="A382" s="4" t="str">
        <f>"79"</f>
        <v>79</v>
      </c>
      <c r="B382" s="4" t="str">
        <f>"贺俊玉"</f>
        <v>贺俊玉</v>
      </c>
      <c r="C382" s="4" t="str">
        <f>"女        "</f>
        <v>女        </v>
      </c>
      <c r="D382" s="4" t="str">
        <f t="shared" si="115"/>
        <v>汉族</v>
      </c>
      <c r="E382" s="4" t="str">
        <f>"贵州望谟"</f>
        <v>贵州望谟</v>
      </c>
      <c r="F382" s="4" t="str">
        <f>"1992年03月"</f>
        <v>1992年03月</v>
      </c>
      <c r="G382" s="4" t="str">
        <f t="shared" si="114"/>
        <v>共青团员</v>
      </c>
      <c r="H382" s="4" t="str">
        <f>"522326199203303023"</f>
        <v>522326199203303023</v>
      </c>
      <c r="I382" s="4" t="str">
        <f>"贵州财经大学商务学院劳动与社会保障"</f>
        <v>贵州财经大学商务学院劳动与社会保障</v>
      </c>
      <c r="J382" s="4" t="str">
        <f>"劳动与社会保障"</f>
        <v>劳动与社会保障</v>
      </c>
      <c r="K382" s="4" t="str">
        <f>"本科学士"</f>
        <v>本科学士</v>
      </c>
      <c r="L382" s="4" t="str">
        <f>"18785036224"</f>
        <v>18785036224</v>
      </c>
      <c r="M382" s="4" t="str">
        <f t="shared" si="106"/>
        <v>隆林县</v>
      </c>
      <c r="N382" s="4" t="str">
        <f>"贵州省望谟县郊纳乡八步村上寨组"</f>
        <v>贵州省望谟县郊纳乡八步村上寨组</v>
      </c>
      <c r="O382" s="4" t="str">
        <f>"984143176@qq.com"</f>
        <v>984143176@qq.com</v>
      </c>
      <c r="P382" s="4">
        <f>""</f>
      </c>
      <c r="Q382" s="4" t="str">
        <f>"2016.07.01"</f>
        <v>2016.07.01</v>
      </c>
      <c r="R382" s="4" t="str">
        <f>"不是"</f>
        <v>不是</v>
      </c>
      <c r="S382" s="4" t="str">
        <f>"2:小学"</f>
        <v>2:小学</v>
      </c>
      <c r="T382" s="4" t="str">
        <f>"20165210122002187"</f>
        <v>20165210122002187</v>
      </c>
      <c r="U382" s="4" t="str">
        <f>"136481201605002657"</f>
        <v>136481201605002657</v>
      </c>
      <c r="V382" s="4" t="str">
        <f t="shared" si="113"/>
        <v>小学</v>
      </c>
      <c r="W382" s="4" t="str">
        <f t="shared" si="112"/>
        <v>103:数学</v>
      </c>
      <c r="X382" s="4" t="str">
        <f t="shared" si="107"/>
        <v>通过</v>
      </c>
    </row>
    <row r="383" spans="1:24" s="1" customFormat="1" ht="71.25">
      <c r="A383" s="4" t="str">
        <f>"80"</f>
        <v>80</v>
      </c>
      <c r="B383" s="4" t="str">
        <f>"代鹏"</f>
        <v>代鹏</v>
      </c>
      <c r="C383" s="4" t="str">
        <f>"男        "</f>
        <v>男        </v>
      </c>
      <c r="D383" s="4" t="str">
        <f t="shared" si="115"/>
        <v>汉族</v>
      </c>
      <c r="E383" s="4" t="str">
        <f>"广西隆林"</f>
        <v>广西隆林</v>
      </c>
      <c r="F383" s="4" t="str">
        <f>"1992年12月"</f>
        <v>1992年12月</v>
      </c>
      <c r="G383" s="4" t="str">
        <f t="shared" si="114"/>
        <v>共青团员</v>
      </c>
      <c r="H383" s="4" t="str">
        <f>"452631199212251017"</f>
        <v>452631199212251017</v>
      </c>
      <c r="I383" s="4" t="str">
        <f>"广西科技大学机电技术教育"</f>
        <v>广西科技大学机电技术教育</v>
      </c>
      <c r="J383" s="4" t="str">
        <f>"机电技术教育"</f>
        <v>机电技术教育</v>
      </c>
      <c r="K383" s="4" t="str">
        <f>"本科学士"</f>
        <v>本科学士</v>
      </c>
      <c r="L383" s="4" t="str">
        <f>"15506735389"</f>
        <v>15506735389</v>
      </c>
      <c r="M383" s="4" t="str">
        <f t="shared" si="106"/>
        <v>隆林县</v>
      </c>
      <c r="N383" s="4" t="str">
        <f>"广西百色市隆林各族自治县隆或镇打兰村"</f>
        <v>广西百色市隆林各族自治县隆或镇打兰村</v>
      </c>
      <c r="O383" s="4" t="str">
        <f>"1627854189@qq.com"</f>
        <v>1627854189@qq.com</v>
      </c>
      <c r="P383" s="4" t="str">
        <f>"2016.09.01"</f>
        <v>2016.09.01</v>
      </c>
      <c r="Q383" s="4" t="str">
        <f>"2016.06.01"</f>
        <v>2016.06.01</v>
      </c>
      <c r="R383" s="4" t="str">
        <f>"是"</f>
        <v>是</v>
      </c>
      <c r="S383" s="4" t="str">
        <f>"5:中等职业学校"</f>
        <v>5:中等职业学校</v>
      </c>
      <c r="T383" s="4" t="str">
        <f>"20164502051000078"</f>
        <v>20164502051000078</v>
      </c>
      <c r="U383" s="4" t="str">
        <f>"105941201605088270"</f>
        <v>105941201605088270</v>
      </c>
      <c r="V383" s="4" t="str">
        <f t="shared" si="113"/>
        <v>小学</v>
      </c>
      <c r="W383" s="4" t="str">
        <f t="shared" si="112"/>
        <v>103:数学</v>
      </c>
      <c r="X383" s="4" t="str">
        <f t="shared" si="107"/>
        <v>通过</v>
      </c>
    </row>
    <row r="384" spans="1:24" s="1" customFormat="1" ht="57">
      <c r="A384" s="4" t="str">
        <f>"79"</f>
        <v>79</v>
      </c>
      <c r="B384" s="4" t="str">
        <f>"尹延丰"</f>
        <v>尹延丰</v>
      </c>
      <c r="C384" s="4" t="str">
        <f>"男        "</f>
        <v>男        </v>
      </c>
      <c r="D384" s="4" t="str">
        <f t="shared" si="115"/>
        <v>汉族</v>
      </c>
      <c r="E384" s="4" t="str">
        <f>"隆林"</f>
        <v>隆林</v>
      </c>
      <c r="F384" s="4" t="str">
        <f>"1993年09月"</f>
        <v>1993年09月</v>
      </c>
      <c r="G384" s="4" t="str">
        <f t="shared" si="114"/>
        <v>共青团员</v>
      </c>
      <c r="H384" s="4" t="str">
        <f>"452631199309040013"</f>
        <v>452631199309040013</v>
      </c>
      <c r="I384" s="4" t="str">
        <f>"南宁学院工商管理"</f>
        <v>南宁学院工商管理</v>
      </c>
      <c r="J384" s="4" t="str">
        <f>"工商管理"</f>
        <v>工商管理</v>
      </c>
      <c r="K384" s="4" t="str">
        <f>"本科学士"</f>
        <v>本科学士</v>
      </c>
      <c r="L384" s="4" t="str">
        <f>"18260994880"</f>
        <v>18260994880</v>
      </c>
      <c r="M384" s="4" t="str">
        <f t="shared" si="106"/>
        <v>隆林县</v>
      </c>
      <c r="N384" s="4" t="str">
        <f>"广西百色隆林县腊岩幼儿园对面"</f>
        <v>广西百色隆林县腊岩幼儿园对面</v>
      </c>
      <c r="O384" s="4" t="str">
        <f>"479424125@qq.com"</f>
        <v>479424125@qq.com</v>
      </c>
      <c r="P384" s="4" t="str">
        <f>"2014.08.01"</f>
        <v>2014.08.01</v>
      </c>
      <c r="Q384" s="4" t="str">
        <f>"2017.07.01"</f>
        <v>2017.07.01</v>
      </c>
      <c r="R384" s="4" t="str">
        <f>"不是"</f>
        <v>不是</v>
      </c>
      <c r="S384" s="4" t="str">
        <f>"0:暂未取得"</f>
        <v>0:暂未取得</v>
      </c>
      <c r="T384" s="4" t="str">
        <f>"暂无"</f>
        <v>暂无</v>
      </c>
      <c r="U384" s="4" t="str">
        <f>"暂无"</f>
        <v>暂无</v>
      </c>
      <c r="V384" s="4" t="str">
        <f t="shared" si="113"/>
        <v>小学</v>
      </c>
      <c r="W384" s="4" t="str">
        <f t="shared" si="112"/>
        <v>103:数学</v>
      </c>
      <c r="X384" s="4" t="str">
        <f t="shared" si="107"/>
        <v>通过</v>
      </c>
    </row>
    <row r="385" spans="1:24" s="1" customFormat="1" ht="71.25">
      <c r="A385" s="4" t="str">
        <f>"80"</f>
        <v>80</v>
      </c>
      <c r="B385" s="4" t="str">
        <f>"肖文芳"</f>
        <v>肖文芳</v>
      </c>
      <c r="C385" s="4" t="str">
        <f>"女        "</f>
        <v>女        </v>
      </c>
      <c r="D385" s="4" t="str">
        <f t="shared" si="115"/>
        <v>汉族</v>
      </c>
      <c r="E385" s="4" t="str">
        <f>"广西田东"</f>
        <v>广西田东</v>
      </c>
      <c r="F385" s="4" t="str">
        <f>"1992年11月"</f>
        <v>1992年11月</v>
      </c>
      <c r="G385" s="4" t="str">
        <f t="shared" si="114"/>
        <v>共青团员</v>
      </c>
      <c r="H385" s="4" t="str">
        <f>"452623199211290022"</f>
        <v>452623199211290022</v>
      </c>
      <c r="I385" s="4" t="str">
        <f>"百色学院综合文科教育"</f>
        <v>百色学院综合文科教育</v>
      </c>
      <c r="J385" s="4" t="str">
        <f>"综合文科教育"</f>
        <v>综合文科教育</v>
      </c>
      <c r="K385" s="4" t="str">
        <f>"专科无学位"</f>
        <v>专科无学位</v>
      </c>
      <c r="L385" s="4" t="str">
        <f>"18377610838"</f>
        <v>18377610838</v>
      </c>
      <c r="M385" s="4" t="str">
        <f t="shared" si="106"/>
        <v>隆林县</v>
      </c>
      <c r="N385" s="4" t="str">
        <f>"广西田东县平马镇南华路文昌巷68号"</f>
        <v>广西田东县平马镇南华路文昌巷68号</v>
      </c>
      <c r="O385" s="4" t="str">
        <f>"476721380@qq.com"</f>
        <v>476721380@qq.com</v>
      </c>
      <c r="P385" s="4" t="str">
        <f>"2017.02.01"</f>
        <v>2017.02.01</v>
      </c>
      <c r="Q385" s="4" t="str">
        <f>"2017.06.01"</f>
        <v>2017.06.01</v>
      </c>
      <c r="R385" s="4" t="str">
        <f>"是"</f>
        <v>是</v>
      </c>
      <c r="S385" s="4" t="str">
        <f>"2:小学"</f>
        <v>2:小学</v>
      </c>
      <c r="T385" s="4" t="str">
        <f>"20164580822000083"</f>
        <v>20164580822000083</v>
      </c>
      <c r="U385" s="4" t="str">
        <f>"2017届毕业生填暂无"</f>
        <v>2017届毕业生填暂无</v>
      </c>
      <c r="V385" s="4" t="str">
        <f t="shared" si="113"/>
        <v>小学</v>
      </c>
      <c r="W385" s="4" t="str">
        <f t="shared" si="112"/>
        <v>103:数学</v>
      </c>
      <c r="X385" s="4" t="str">
        <f t="shared" si="107"/>
        <v>通过</v>
      </c>
    </row>
    <row r="386" spans="1:24" s="1" customFormat="1" ht="71.25">
      <c r="A386" s="4" t="str">
        <f>"79"</f>
        <v>79</v>
      </c>
      <c r="B386" s="4" t="str">
        <f>"尹蜜"</f>
        <v>尹蜜</v>
      </c>
      <c r="C386" s="4" t="str">
        <f>"女        "</f>
        <v>女        </v>
      </c>
      <c r="D386" s="4" t="str">
        <f t="shared" si="115"/>
        <v>汉族</v>
      </c>
      <c r="E386" s="4" t="str">
        <f>"云南富源"</f>
        <v>云南富源</v>
      </c>
      <c r="F386" s="4" t="str">
        <f>"1995年11月"</f>
        <v>1995年11月</v>
      </c>
      <c r="G386" s="4" t="str">
        <f t="shared" si="114"/>
        <v>共青团员</v>
      </c>
      <c r="H386" s="4" t="str">
        <f>"532225199511241127"</f>
        <v>532225199511241127</v>
      </c>
      <c r="I386" s="4" t="str">
        <f>"丽江师范高等专科学校小学教育"</f>
        <v>丽江师范高等专科学校小学教育</v>
      </c>
      <c r="J386" s="4" t="str">
        <f>"小学教育"</f>
        <v>小学教育</v>
      </c>
      <c r="K386" s="4" t="str">
        <f>"专科无学位"</f>
        <v>专科无学位</v>
      </c>
      <c r="L386" s="4" t="str">
        <f>"18487560573"</f>
        <v>18487560573</v>
      </c>
      <c r="M386" s="4" t="str">
        <f aca="true" t="shared" si="116" ref="M386:M392">"隆林县"</f>
        <v>隆林县</v>
      </c>
      <c r="N386" s="4" t="str">
        <f>"云南省曲靖市富源县海丹村委会海丹二村008"</f>
        <v>云南省曲靖市富源县海丹村委会海丹二村008</v>
      </c>
      <c r="O386" s="4" t="str">
        <f>"1612584494@qq.com"</f>
        <v>1612584494@qq.com</v>
      </c>
      <c r="P386" s="4">
        <f>""</f>
      </c>
      <c r="Q386" s="4" t="str">
        <f>"2016.07.01"</f>
        <v>2016.07.01</v>
      </c>
      <c r="R386" s="4" t="str">
        <f>"是"</f>
        <v>是</v>
      </c>
      <c r="S386" s="4" t="str">
        <f>"2:小学"</f>
        <v>2:小学</v>
      </c>
      <c r="T386" s="4" t="str">
        <f>"20165312422000668"</f>
        <v>20165312422000668</v>
      </c>
      <c r="U386" s="4" t="str">
        <f>"140151201606001314"</f>
        <v>140151201606001314</v>
      </c>
      <c r="V386" s="4" t="str">
        <f t="shared" si="113"/>
        <v>小学</v>
      </c>
      <c r="W386" s="4" t="str">
        <f t="shared" si="112"/>
        <v>103:数学</v>
      </c>
      <c r="X386" s="4" t="str">
        <f aca="true" t="shared" si="117" ref="X386:X392">"通过"</f>
        <v>通过</v>
      </c>
    </row>
    <row r="387" spans="1:24" s="1" customFormat="1" ht="57">
      <c r="A387" s="4" t="str">
        <f>"80"</f>
        <v>80</v>
      </c>
      <c r="B387" s="4" t="str">
        <f>"危昌云"</f>
        <v>危昌云</v>
      </c>
      <c r="C387" s="4" t="str">
        <f aca="true" t="shared" si="118" ref="C387:C392">"男        "</f>
        <v>男        </v>
      </c>
      <c r="D387" s="4" t="str">
        <f>"布依族"</f>
        <v>布依族</v>
      </c>
      <c r="E387" s="4" t="str">
        <f>"贵州省贞丰县"</f>
        <v>贵州省贞丰县</v>
      </c>
      <c r="F387" s="4" t="str">
        <f>"1992年03月"</f>
        <v>1992年03月</v>
      </c>
      <c r="G387" s="4" t="str">
        <f t="shared" si="114"/>
        <v>共青团员</v>
      </c>
      <c r="H387" s="4" t="str">
        <f>"522325199203110014"</f>
        <v>522325199203110014</v>
      </c>
      <c r="I387" s="4" t="str">
        <f>"贵阳学院化学教育"</f>
        <v>贵阳学院化学教育</v>
      </c>
      <c r="J387" s="4" t="str">
        <f>"化学教育"</f>
        <v>化学教育</v>
      </c>
      <c r="K387" s="4" t="str">
        <f>"专科无学位"</f>
        <v>专科无学位</v>
      </c>
      <c r="L387" s="4" t="str">
        <f>"18798762476"</f>
        <v>18798762476</v>
      </c>
      <c r="M387" s="4" t="str">
        <f t="shared" si="116"/>
        <v>隆林县</v>
      </c>
      <c r="N387" s="4" t="str">
        <f>"贵州省贞丰县珉谷镇林用村七组"</f>
        <v>贵州省贞丰县珉谷镇林用村七组</v>
      </c>
      <c r="O387" s="4" t="str">
        <f>"1584884540@qq.com"</f>
        <v>1584884540@qq.com</v>
      </c>
      <c r="P387" s="4">
        <f>""</f>
      </c>
      <c r="Q387" s="4" t="str">
        <f>"2015.07.01"</f>
        <v>2015.07.01</v>
      </c>
      <c r="R387" s="4" t="str">
        <f>"是"</f>
        <v>是</v>
      </c>
      <c r="S387" s="4" t="str">
        <f>"3:初级中学"</f>
        <v>3:初级中学</v>
      </c>
      <c r="T387" s="4" t="str">
        <f>"20155210131000818"</f>
        <v>20155210131000818</v>
      </c>
      <c r="U387" s="4" t="str">
        <f>"109761201506000106"</f>
        <v>109761201506000106</v>
      </c>
      <c r="V387" s="4" t="str">
        <f t="shared" si="113"/>
        <v>小学</v>
      </c>
      <c r="W387" s="4" t="str">
        <f t="shared" si="112"/>
        <v>103:数学</v>
      </c>
      <c r="X387" s="4" t="str">
        <f t="shared" si="117"/>
        <v>通过</v>
      </c>
    </row>
    <row r="388" spans="1:24" s="1" customFormat="1" ht="85.5">
      <c r="A388" s="4" t="str">
        <f>"79"</f>
        <v>79</v>
      </c>
      <c r="B388" s="4" t="str">
        <f>"梁永富"</f>
        <v>梁永富</v>
      </c>
      <c r="C388" s="4" t="str">
        <f t="shared" si="118"/>
        <v>男        </v>
      </c>
      <c r="D388" s="4" t="str">
        <f>"布依族"</f>
        <v>布依族</v>
      </c>
      <c r="E388" s="4" t="str">
        <f>"贵州省贞丰县"</f>
        <v>贵州省贞丰县</v>
      </c>
      <c r="F388" s="4" t="str">
        <f>"1989年05月"</f>
        <v>1989年05月</v>
      </c>
      <c r="G388" s="4" t="str">
        <f t="shared" si="114"/>
        <v>共青团员</v>
      </c>
      <c r="H388" s="4" t="str">
        <f>"522325198905101214"</f>
        <v>522325198905101214</v>
      </c>
      <c r="I388" s="4" t="str">
        <f>"贵州省兴义民族师范学院初等教育小学教育理科方向"</f>
        <v>贵州省兴义民族师范学院初等教育小学教育理科方向</v>
      </c>
      <c r="J388" s="4" t="str">
        <f>"初等教育小学教育理科方向"</f>
        <v>初等教育小学教育理科方向</v>
      </c>
      <c r="K388" s="4" t="str">
        <f>"专科无学位"</f>
        <v>专科无学位</v>
      </c>
      <c r="L388" s="4" t="str">
        <f>"18208644130"</f>
        <v>18208644130</v>
      </c>
      <c r="M388" s="4" t="str">
        <f t="shared" si="116"/>
        <v>隆林县</v>
      </c>
      <c r="N388" s="4" t="str">
        <f>"贵州省贞丰县北盘江镇青杠林村打章一组"</f>
        <v>贵州省贞丰县北盘江镇青杠林村打章一组</v>
      </c>
      <c r="O388" s="4" t="str">
        <f>"354463100@qq.com"</f>
        <v>354463100@qq.com</v>
      </c>
      <c r="P388" s="4" t="str">
        <f>"2014.09.01"</f>
        <v>2014.09.01</v>
      </c>
      <c r="Q388" s="4" t="str">
        <f>"2014.07.01"</f>
        <v>2014.07.01</v>
      </c>
      <c r="R388" s="4" t="str">
        <f>"是"</f>
        <v>是</v>
      </c>
      <c r="S388" s="4" t="str">
        <f>"2:小学"</f>
        <v>2:小学</v>
      </c>
      <c r="T388" s="4" t="str">
        <f>"20145290121000432"</f>
        <v>20145290121000432</v>
      </c>
      <c r="U388" s="4" t="str">
        <f>"106661201406000357"</f>
        <v>106661201406000357</v>
      </c>
      <c r="V388" s="4" t="str">
        <f t="shared" si="113"/>
        <v>小学</v>
      </c>
      <c r="W388" s="4" t="str">
        <f t="shared" si="112"/>
        <v>103:数学</v>
      </c>
      <c r="X388" s="4" t="str">
        <f t="shared" si="117"/>
        <v>通过</v>
      </c>
    </row>
    <row r="389" spans="1:24" s="1" customFormat="1" ht="85.5">
      <c r="A389" s="4" t="str">
        <f>"80"</f>
        <v>80</v>
      </c>
      <c r="B389" s="4" t="str">
        <f>"李龙"</f>
        <v>李龙</v>
      </c>
      <c r="C389" s="4" t="str">
        <f t="shared" si="118"/>
        <v>男        </v>
      </c>
      <c r="D389" s="4" t="str">
        <f>"汉族"</f>
        <v>汉族</v>
      </c>
      <c r="E389" s="4" t="str">
        <f>"广西隆林"</f>
        <v>广西隆林</v>
      </c>
      <c r="F389" s="4" t="str">
        <f>"1988年12月"</f>
        <v>1988年12月</v>
      </c>
      <c r="G389" s="4" t="str">
        <f t="shared" si="114"/>
        <v>共青团员</v>
      </c>
      <c r="H389" s="4" t="str">
        <f>"452631198812194170"</f>
        <v>452631198812194170</v>
      </c>
      <c r="I389" s="4" t="str">
        <f>"百色学院汉语"</f>
        <v>百色学院汉语</v>
      </c>
      <c r="J389" s="4" t="str">
        <f>"汉语"</f>
        <v>汉语</v>
      </c>
      <c r="K389" s="4" t="str">
        <f>"专科无学位"</f>
        <v>专科无学位</v>
      </c>
      <c r="L389" s="4" t="str">
        <f>"18377638818"</f>
        <v>18377638818</v>
      </c>
      <c r="M389" s="4" t="str">
        <f t="shared" si="116"/>
        <v>隆林县</v>
      </c>
      <c r="N389" s="4" t="str">
        <f>"广西省百色市隆林县克长乡烂滩村烂滩屯060号"</f>
        <v>广西省百色市隆林县克长乡烂滩村烂滩屯060号</v>
      </c>
      <c r="O389" s="4" t="str">
        <f>"bm4170@163.com"</f>
        <v>bm4170@163.com</v>
      </c>
      <c r="P389" s="4" t="str">
        <f>"2012.07.01"</f>
        <v>2012.07.01</v>
      </c>
      <c r="Q389" s="4" t="str">
        <f>"2012.07.01"</f>
        <v>2012.07.01</v>
      </c>
      <c r="R389" s="4" t="str">
        <f>"不是"</f>
        <v>不是</v>
      </c>
      <c r="S389" s="4" t="str">
        <f>"2:小学"</f>
        <v>2:小学</v>
      </c>
      <c r="T389" s="4" t="str">
        <f>"20164580521000023"</f>
        <v>20164580521000023</v>
      </c>
      <c r="U389" s="4" t="str">
        <f>"106091201206000128"</f>
        <v>106091201206000128</v>
      </c>
      <c r="V389" s="4" t="str">
        <f t="shared" si="113"/>
        <v>小学</v>
      </c>
      <c r="W389" s="4" t="str">
        <f t="shared" si="112"/>
        <v>103:数学</v>
      </c>
      <c r="X389" s="4" t="str">
        <f t="shared" si="117"/>
        <v>通过</v>
      </c>
    </row>
    <row r="390" spans="1:24" s="1" customFormat="1" ht="57">
      <c r="A390" s="4" t="str">
        <f>"79"</f>
        <v>79</v>
      </c>
      <c r="B390" s="4" t="str">
        <f>"陈意"</f>
        <v>陈意</v>
      </c>
      <c r="C390" s="4" t="str">
        <f t="shared" si="118"/>
        <v>男        </v>
      </c>
      <c r="D390" s="4" t="str">
        <f>"黎族"</f>
        <v>黎族</v>
      </c>
      <c r="E390" s="4" t="str">
        <f>"贵州晴隆"</f>
        <v>贵州晴隆</v>
      </c>
      <c r="F390" s="4" t="str">
        <f>"1991年06月"</f>
        <v>1991年06月</v>
      </c>
      <c r="G390" s="4" t="str">
        <f t="shared" si="114"/>
        <v>共青团员</v>
      </c>
      <c r="H390" s="4" t="str">
        <f>"522324199106182810"</f>
        <v>522324199106182810</v>
      </c>
      <c r="I390" s="4" t="str">
        <f>"兴义民族师范学院化学"</f>
        <v>兴义民族师范学院化学</v>
      </c>
      <c r="J390" s="4" t="str">
        <f>"化学"</f>
        <v>化学</v>
      </c>
      <c r="K390" s="4" t="str">
        <f>"本科学士"</f>
        <v>本科学士</v>
      </c>
      <c r="L390" s="4" t="str">
        <f>"18208644732"</f>
        <v>18208644732</v>
      </c>
      <c r="M390" s="4" t="str">
        <f t="shared" si="116"/>
        <v>隆林县</v>
      </c>
      <c r="N390" s="4" t="str">
        <f>"贵州省晴隆县紫马乡新羊村新阳组"</f>
        <v>贵州省晴隆县紫马乡新羊村新阳组</v>
      </c>
      <c r="O390" s="4" t="str">
        <f>"290764868@qq.com"</f>
        <v>290764868@qq.com</v>
      </c>
      <c r="P390" s="4">
        <f>""</f>
      </c>
      <c r="Q390" s="4" t="str">
        <f>"2016.07.01"</f>
        <v>2016.07.01</v>
      </c>
      <c r="R390" s="4" t="str">
        <f>"是"</f>
        <v>是</v>
      </c>
      <c r="S390" s="4" t="str">
        <f>"4:高级中学"</f>
        <v>4:高级中学</v>
      </c>
      <c r="T390" s="4" t="str">
        <f>"20165290041000470"</f>
        <v>20165290041000470</v>
      </c>
      <c r="U390" s="4" t="str">
        <f>"106661201605000231"</f>
        <v>106661201605000231</v>
      </c>
      <c r="V390" s="4" t="str">
        <f t="shared" si="113"/>
        <v>小学</v>
      </c>
      <c r="W390" s="4" t="str">
        <f t="shared" si="112"/>
        <v>103:数学</v>
      </c>
      <c r="X390" s="4" t="str">
        <f t="shared" si="117"/>
        <v>通过</v>
      </c>
    </row>
    <row r="391" spans="1:24" s="1" customFormat="1" ht="71.25">
      <c r="A391" s="4" t="str">
        <f>"80"</f>
        <v>80</v>
      </c>
      <c r="B391" s="4" t="str">
        <f>"代领"</f>
        <v>代领</v>
      </c>
      <c r="C391" s="4" t="str">
        <f t="shared" si="118"/>
        <v>男        </v>
      </c>
      <c r="D391" s="4" t="str">
        <f>"汉族"</f>
        <v>汉族</v>
      </c>
      <c r="E391" s="4" t="str">
        <f>"广西隆林"</f>
        <v>广西隆林</v>
      </c>
      <c r="F391" s="4" t="str">
        <f>"1996年10月"</f>
        <v>1996年10月</v>
      </c>
      <c r="G391" s="4" t="str">
        <f t="shared" si="114"/>
        <v>共青团员</v>
      </c>
      <c r="H391" s="4" t="str">
        <f>"452631199610170036"</f>
        <v>452631199610170036</v>
      </c>
      <c r="I391" s="4" t="str">
        <f>"百色学院小学教育"</f>
        <v>百色学院小学教育</v>
      </c>
      <c r="J391" s="4" t="str">
        <f>"小学教育"</f>
        <v>小学教育</v>
      </c>
      <c r="K391" s="4" t="str">
        <f>"专科无学位"</f>
        <v>专科无学位</v>
      </c>
      <c r="L391" s="4" t="str">
        <f>"17607865863"</f>
        <v>17607865863</v>
      </c>
      <c r="M391" s="4" t="str">
        <f t="shared" si="116"/>
        <v>隆林县</v>
      </c>
      <c r="N391" s="4" t="str">
        <f>"广西隆林各族自治县隆或乡隆或村四屯058号"</f>
        <v>广西隆林各族自治县隆或乡隆或村四屯058号</v>
      </c>
      <c r="O391" s="4" t="str">
        <f>"1442085987@qq.com"</f>
        <v>1442085987@qq.com</v>
      </c>
      <c r="P391" s="4">
        <f>""</f>
      </c>
      <c r="Q391" s="4" t="str">
        <f>"2017.06.01"</f>
        <v>2017.06.01</v>
      </c>
      <c r="R391" s="4" t="str">
        <f>"是"</f>
        <v>是</v>
      </c>
      <c r="S391" s="4" t="str">
        <f>"0:暂未取得"</f>
        <v>0:暂未取得</v>
      </c>
      <c r="T391" s="4" t="str">
        <f>"暂无"</f>
        <v>暂无</v>
      </c>
      <c r="U391" s="4" t="str">
        <f>"暂无"</f>
        <v>暂无</v>
      </c>
      <c r="V391" s="4" t="str">
        <f t="shared" si="113"/>
        <v>小学</v>
      </c>
      <c r="W391" s="4" t="str">
        <f t="shared" si="112"/>
        <v>103:数学</v>
      </c>
      <c r="X391" s="4" t="str">
        <f t="shared" si="117"/>
        <v>通过</v>
      </c>
    </row>
    <row r="392" spans="1:24" s="1" customFormat="1" ht="85.5">
      <c r="A392" s="4" t="str">
        <f>"79"</f>
        <v>79</v>
      </c>
      <c r="B392" s="4" t="str">
        <f>"何红亮"</f>
        <v>何红亮</v>
      </c>
      <c r="C392" s="4" t="str">
        <f t="shared" si="118"/>
        <v>男        </v>
      </c>
      <c r="D392" s="4" t="str">
        <f>"汉族"</f>
        <v>汉族</v>
      </c>
      <c r="E392" s="4" t="str">
        <f>"云南省曲靖市富源县"</f>
        <v>云南省曲靖市富源县</v>
      </c>
      <c r="F392" s="4" t="str">
        <f>"1989年06月"</f>
        <v>1989年06月</v>
      </c>
      <c r="G392" s="4" t="str">
        <f>"中共党员"</f>
        <v>中共党员</v>
      </c>
      <c r="H392" s="4" t="str">
        <f>"530325198906071416"</f>
        <v>530325198906071416</v>
      </c>
      <c r="I392" s="4" t="str">
        <f>"思茅师范高等专科学校物理教育"</f>
        <v>思茅师范高等专科学校物理教育</v>
      </c>
      <c r="J392" s="4" t="str">
        <f>"物理教育"</f>
        <v>物理教育</v>
      </c>
      <c r="K392" s="4" t="str">
        <f>"专科无学位"</f>
        <v>专科无学位</v>
      </c>
      <c r="L392" s="4" t="str">
        <f>"13595915473"</f>
        <v>13595915473</v>
      </c>
      <c r="M392" s="4" t="str">
        <f t="shared" si="116"/>
        <v>隆林县</v>
      </c>
      <c r="N392" s="4" t="str">
        <f>"云南省曲靖市富源县富村镇块泽村委会下块泽村"</f>
        <v>云南省曲靖市富源县富村镇块泽村委会下块泽村</v>
      </c>
      <c r="O392" s="4" t="str">
        <f>"1144956790@qq.com"</f>
        <v>1144956790@qq.com</v>
      </c>
      <c r="P392" s="4" t="str">
        <f>"2011.09.01"</f>
        <v>2011.09.01</v>
      </c>
      <c r="Q392" s="4" t="str">
        <f>"2012.07.01"</f>
        <v>2012.07.01</v>
      </c>
      <c r="R392" s="4" t="str">
        <f>"是"</f>
        <v>是</v>
      </c>
      <c r="S392" s="4" t="str">
        <f>"2:小学"</f>
        <v>2:小学</v>
      </c>
      <c r="T392" s="4" t="str">
        <f>"20175303221000081"</f>
        <v>20175303221000081</v>
      </c>
      <c r="U392" s="4" t="str">
        <f>"106851201206000300"</f>
        <v>106851201206000300</v>
      </c>
      <c r="V392" s="4" t="str">
        <f t="shared" si="113"/>
        <v>小学</v>
      </c>
      <c r="W392" s="4" t="str">
        <f t="shared" si="112"/>
        <v>103:数学</v>
      </c>
      <c r="X392" s="4" t="str">
        <f t="shared" si="117"/>
        <v>通过</v>
      </c>
    </row>
  </sheetData>
  <sheetProtection/>
  <mergeCells count="1">
    <mergeCell ref="A1:X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2017-06-26T03:46:47Z</dcterms:created>
  <dcterms:modified xsi:type="dcterms:W3CDTF">2017-06-26T08:37:42Z</dcterms:modified>
  <cp:category/>
  <cp:version/>
  <cp:contentType/>
  <cp:contentStatus/>
</cp:coreProperties>
</file>