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2755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<sst xmlns="http://schemas.openxmlformats.org/spreadsheetml/2006/main" count="17" uniqueCount="17">
  <si>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编号</t>
  </si>
  <si>
    <t>姓名</t>
  </si>
  <si>
    <t>性别</t>
  </si>
  <si>
    <t>民族</t>
  </si>
  <si>
    <t>出生年月</t>
  </si>
  <si>
    <t>毕业学校</t>
  </si>
  <si>
    <t>专业</t>
  </si>
  <si>
    <t>学历学位</t>
  </si>
  <si>
    <t>毕业时间</t>
  </si>
  <si>
    <t>是否师范类</t>
  </si>
  <si>
    <t>教师资格种类</t>
  </si>
  <si>
    <t>教师资格证号</t>
  </si>
  <si>
    <t>毕业证号</t>
  </si>
  <si>
    <t>任教学段</t>
  </si>
  <si>
    <t>任教科目</t>
  </si>
  <si>
    <t>审批结果</t>
  </si>
  <si>
    <t>忻城县2017年特岗教师招聘网上审核通过人员名单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</si>
</sst>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00">
      <selection activeCell="T6" sqref="T6"/>
    </sheetView>
  </sheetViews>
  <sheetFormatPr defaultColWidth="9.00390625" defaultRowHeight="14.25"/>
  <cols>
    <col min="1" max="1" width="5.375" style="2" customWidth="1"/>
    <col min="2" max="2" width="7.00390625" style="2" customWidth="1"/>
    <col min="3" max="3" width="5.25390625" style="2" customWidth="1"/>
    <col min="4" max="4" width="5.125" style="2" customWidth="1"/>
    <col min="5" max="5" width="10.75390625" style="2" customWidth="1"/>
    <col min="6" max="6" width="18.25390625" style="2" customWidth="1"/>
    <col min="7" max="7" width="9.00390625" style="2" customWidth="1"/>
    <col min="8" max="8" width="6.50390625" style="2" customWidth="1"/>
    <col min="9" max="9" width="11.25390625" style="2" customWidth="1"/>
    <col min="10" max="10" width="6.00390625" style="2" customWidth="1"/>
    <col min="11" max="16384" width="9.00390625" style="2" customWidth="1"/>
  </cols>
  <sheetData>
    <row r="1" spans="1:16" ht="43.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42.75">
      <c r="A3" s="3" t="str">
        <f>"1"</f>
        <v>1</v>
      </c>
      <c r="B3" s="3" t="str">
        <f>"蓝剑华"</f>
        <v>蓝剑华</v>
      </c>
      <c r="C3" s="3" t="str">
        <f>"男        "</f>
        <v>男        </v>
      </c>
      <c r="D3" s="3" t="str">
        <f>"壮族"</f>
        <v>壮族</v>
      </c>
      <c r="E3" s="3" t="str">
        <f>"1992年04月"</f>
        <v>1992年04月</v>
      </c>
      <c r="F3" s="3" t="str">
        <f>"广西师范大学漓江学院汉语言文学"</f>
        <v>广西师范大学漓江学院汉语言文学</v>
      </c>
      <c r="G3" s="3" t="str">
        <f>"汉语言文学"</f>
        <v>汉语言文学</v>
      </c>
      <c r="H3" s="3" t="str">
        <f>"本科学士"</f>
        <v>本科学士</v>
      </c>
      <c r="I3" s="3" t="str">
        <f>"2017.07.01"</f>
        <v>2017.07.01</v>
      </c>
      <c r="J3" s="3" t="str">
        <f>"是"</f>
        <v>是</v>
      </c>
      <c r="K3" s="3" t="str">
        <f>"0:暂未取得"</f>
        <v>0:暂未取得</v>
      </c>
      <c r="L3" s="3" t="str">
        <f>"2017届毕业生填暂无"</f>
        <v>2017届毕业生填暂无</v>
      </c>
      <c r="M3" s="3" t="str">
        <f>"2017届毕业生填暂无"</f>
        <v>2017届毕业生填暂无</v>
      </c>
      <c r="N3" s="3" t="str">
        <f aca="true" t="shared" si="0" ref="N3:N34">"小学"</f>
        <v>小学</v>
      </c>
      <c r="O3" s="3" t="str">
        <f aca="true" t="shared" si="1" ref="O3:O41">"102:语文"</f>
        <v>102:语文</v>
      </c>
      <c r="P3" s="3" t="str">
        <f aca="true" t="shared" si="2" ref="P3:P34">"通过"</f>
        <v>通过</v>
      </c>
    </row>
    <row r="4" spans="1:16" ht="28.5">
      <c r="A4" s="3" t="str">
        <f>"2"</f>
        <v>2</v>
      </c>
      <c r="B4" s="3" t="str">
        <f>"蓝巧红"</f>
        <v>蓝巧红</v>
      </c>
      <c r="C4" s="3" t="str">
        <f aca="true" t="shared" si="3" ref="C4:C21">"女        "</f>
        <v>女        </v>
      </c>
      <c r="D4" s="3" t="str">
        <f>"壮族"</f>
        <v>壮族</v>
      </c>
      <c r="E4" s="3" t="str">
        <f>"1993年02月"</f>
        <v>1993年02月</v>
      </c>
      <c r="F4" s="3" t="str">
        <f>"南宁地区教育学院语文教育"</f>
        <v>南宁地区教育学院语文教育</v>
      </c>
      <c r="G4" s="3" t="str">
        <f>"语文教育"</f>
        <v>语文教育</v>
      </c>
      <c r="H4" s="3" t="str">
        <f>"专科无学位"</f>
        <v>专科无学位</v>
      </c>
      <c r="I4" s="3" t="str">
        <f>"2017.06.01"</f>
        <v>2017.06.01</v>
      </c>
      <c r="J4" s="3" t="str">
        <f>"是"</f>
        <v>是</v>
      </c>
      <c r="K4" s="3" t="str">
        <f>"2:小学"</f>
        <v>2:小学</v>
      </c>
      <c r="L4" s="3" t="str">
        <f>"暂无"</f>
        <v>暂无</v>
      </c>
      <c r="M4" s="3" t="str">
        <f>"暂无"</f>
        <v>暂无</v>
      </c>
      <c r="N4" s="3" t="str">
        <f t="shared" si="0"/>
        <v>小学</v>
      </c>
      <c r="O4" s="3" t="str">
        <f t="shared" si="1"/>
        <v>102:语文</v>
      </c>
      <c r="P4" s="3" t="str">
        <f t="shared" si="2"/>
        <v>通过</v>
      </c>
    </row>
    <row r="5" spans="1:16" ht="28.5">
      <c r="A5" s="3" t="str">
        <f>"3"</f>
        <v>3</v>
      </c>
      <c r="B5" s="3" t="str">
        <f>"肖岚芳"</f>
        <v>肖岚芳</v>
      </c>
      <c r="C5" s="3" t="str">
        <f t="shared" si="3"/>
        <v>女        </v>
      </c>
      <c r="D5" s="3" t="str">
        <f>"壮族"</f>
        <v>壮族</v>
      </c>
      <c r="E5" s="3" t="str">
        <f>"1993年11月"</f>
        <v>1993年11月</v>
      </c>
      <c r="F5" s="3" t="str">
        <f>"广西师范大学学前教育"</f>
        <v>广西师范大学学前教育</v>
      </c>
      <c r="G5" s="3" t="str">
        <f>"学前教育"</f>
        <v>学前教育</v>
      </c>
      <c r="H5" s="3" t="str">
        <f>"本科学士"</f>
        <v>本科学士</v>
      </c>
      <c r="I5" s="3" t="str">
        <f>"2017.06.01"</f>
        <v>2017.06.01</v>
      </c>
      <c r="J5" s="3" t="str">
        <f>"是"</f>
        <v>是</v>
      </c>
      <c r="K5" s="3" t="str">
        <f>"5:中等职业学校"</f>
        <v>5:中等职业学校</v>
      </c>
      <c r="L5" s="3" t="str">
        <f>"暂无"</f>
        <v>暂无</v>
      </c>
      <c r="M5" s="3" t="str">
        <f>"暂无"</f>
        <v>暂无</v>
      </c>
      <c r="N5" s="3" t="str">
        <f t="shared" si="0"/>
        <v>小学</v>
      </c>
      <c r="O5" s="3" t="str">
        <f t="shared" si="1"/>
        <v>102:语文</v>
      </c>
      <c r="P5" s="3" t="str">
        <f t="shared" si="2"/>
        <v>通过</v>
      </c>
    </row>
    <row r="6" spans="1:16" ht="42.75">
      <c r="A6" s="3" t="str">
        <f>"4"</f>
        <v>4</v>
      </c>
      <c r="B6" s="3" t="str">
        <f>"麦秋健"</f>
        <v>麦秋健</v>
      </c>
      <c r="C6" s="3" t="str">
        <f t="shared" si="3"/>
        <v>女        </v>
      </c>
      <c r="D6" s="3" t="str">
        <f>"壮族"</f>
        <v>壮族</v>
      </c>
      <c r="E6" s="3" t="str">
        <f>"1996年08月"</f>
        <v>1996年08月</v>
      </c>
      <c r="F6" s="3" t="str">
        <f>"百色学院综合文科教育"</f>
        <v>百色学院综合文科教育</v>
      </c>
      <c r="G6" s="3" t="str">
        <f>"综合文科教育"</f>
        <v>综合文科教育</v>
      </c>
      <c r="H6" s="3" t="str">
        <f>"专科无学位"</f>
        <v>专科无学位</v>
      </c>
      <c r="I6" s="3" t="str">
        <f>"2017.06.01"</f>
        <v>2017.06.01</v>
      </c>
      <c r="J6" s="3" t="str">
        <f>"是"</f>
        <v>是</v>
      </c>
      <c r="K6" s="3" t="str">
        <f>"2:小学"</f>
        <v>2:小学</v>
      </c>
      <c r="L6" s="3" t="str">
        <f aca="true" t="shared" si="4" ref="L6:M8">"2017届毕业生填暂无"</f>
        <v>2017届毕业生填暂无</v>
      </c>
      <c r="M6" s="3" t="str">
        <f t="shared" si="4"/>
        <v>2017届毕业生填暂无</v>
      </c>
      <c r="N6" s="3" t="str">
        <f t="shared" si="0"/>
        <v>小学</v>
      </c>
      <c r="O6" s="3" t="str">
        <f t="shared" si="1"/>
        <v>102:语文</v>
      </c>
      <c r="P6" s="3" t="str">
        <f t="shared" si="2"/>
        <v>通过</v>
      </c>
    </row>
    <row r="7" spans="1:16" ht="42.75">
      <c r="A7" s="3" t="str">
        <f>"5"</f>
        <v>5</v>
      </c>
      <c r="B7" s="3" t="str">
        <f>"李静雯"</f>
        <v>李静雯</v>
      </c>
      <c r="C7" s="3" t="str">
        <f t="shared" si="3"/>
        <v>女        </v>
      </c>
      <c r="D7" s="3" t="str">
        <f>"汉族"</f>
        <v>汉族</v>
      </c>
      <c r="E7" s="3" t="str">
        <f>"1996年03月"</f>
        <v>1996年03月</v>
      </c>
      <c r="F7" s="3" t="str">
        <f>"德宏师范高等专科学校初等教育"</f>
        <v>德宏师范高等专科学校初等教育</v>
      </c>
      <c r="G7" s="3" t="str">
        <f>"初等教育"</f>
        <v>初等教育</v>
      </c>
      <c r="H7" s="3" t="str">
        <f>"专科无学位"</f>
        <v>专科无学位</v>
      </c>
      <c r="I7" s="3" t="str">
        <f>"2017.07.01"</f>
        <v>2017.07.01</v>
      </c>
      <c r="J7" s="3" t="str">
        <f>"是"</f>
        <v>是</v>
      </c>
      <c r="K7" s="3" t="str">
        <f>"2:小学"</f>
        <v>2:小学</v>
      </c>
      <c r="L7" s="3" t="str">
        <f t="shared" si="4"/>
        <v>2017届毕业生填暂无</v>
      </c>
      <c r="M7" s="3" t="str">
        <f t="shared" si="4"/>
        <v>2017届毕业生填暂无</v>
      </c>
      <c r="N7" s="3" t="str">
        <f t="shared" si="0"/>
        <v>小学</v>
      </c>
      <c r="O7" s="3" t="str">
        <f t="shared" si="1"/>
        <v>102:语文</v>
      </c>
      <c r="P7" s="3" t="str">
        <f t="shared" si="2"/>
        <v>通过</v>
      </c>
    </row>
    <row r="8" spans="1:16" ht="42.75">
      <c r="A8" s="3" t="str">
        <f>"6"</f>
        <v>6</v>
      </c>
      <c r="B8" s="3" t="str">
        <f>"黄静静"</f>
        <v>黄静静</v>
      </c>
      <c r="C8" s="3" t="str">
        <f t="shared" si="3"/>
        <v>女        </v>
      </c>
      <c r="D8" s="3" t="str">
        <f aca="true" t="shared" si="5" ref="D8:D14">"壮族"</f>
        <v>壮族</v>
      </c>
      <c r="E8" s="3" t="str">
        <f>"1995年03月"</f>
        <v>1995年03月</v>
      </c>
      <c r="F8" s="3" t="str">
        <f>"广西师范学院师园学院新闻学"</f>
        <v>广西师范学院师园学院新闻学</v>
      </c>
      <c r="G8" s="3" t="str">
        <f>"新闻学"</f>
        <v>新闻学</v>
      </c>
      <c r="H8" s="3" t="str">
        <f>"本科学士"</f>
        <v>本科学士</v>
      </c>
      <c r="I8" s="3" t="str">
        <f>"2017.06.01"</f>
        <v>2017.06.01</v>
      </c>
      <c r="J8" s="3" t="str">
        <f>"不是"</f>
        <v>不是</v>
      </c>
      <c r="K8" s="3" t="str">
        <f>"3:初级中学"</f>
        <v>3:初级中学</v>
      </c>
      <c r="L8" s="3" t="str">
        <f t="shared" si="4"/>
        <v>2017届毕业生填暂无</v>
      </c>
      <c r="M8" s="3" t="str">
        <f t="shared" si="4"/>
        <v>2017届毕业生填暂无</v>
      </c>
      <c r="N8" s="3" t="str">
        <f t="shared" si="0"/>
        <v>小学</v>
      </c>
      <c r="O8" s="3" t="str">
        <f t="shared" si="1"/>
        <v>102:语文</v>
      </c>
      <c r="P8" s="3" t="str">
        <f t="shared" si="2"/>
        <v>通过</v>
      </c>
    </row>
    <row r="9" spans="1:16" ht="28.5">
      <c r="A9" s="3" t="str">
        <f>"7"</f>
        <v>7</v>
      </c>
      <c r="B9" s="3" t="str">
        <f>"陆秋慧"</f>
        <v>陆秋慧</v>
      </c>
      <c r="C9" s="3" t="str">
        <f t="shared" si="3"/>
        <v>女        </v>
      </c>
      <c r="D9" s="3" t="str">
        <f t="shared" si="5"/>
        <v>壮族</v>
      </c>
      <c r="E9" s="3" t="str">
        <f>"1993年03月"</f>
        <v>1993年03月</v>
      </c>
      <c r="F9" s="3" t="str">
        <f>"江西科技师范大学汉语言文学"</f>
        <v>江西科技师范大学汉语言文学</v>
      </c>
      <c r="G9" s="3" t="str">
        <f>"汉语言文学"</f>
        <v>汉语言文学</v>
      </c>
      <c r="H9" s="3" t="str">
        <f>"本科学士"</f>
        <v>本科学士</v>
      </c>
      <c r="I9" s="3" t="str">
        <f>"2017.07.01"</f>
        <v>2017.07.01</v>
      </c>
      <c r="J9" s="3" t="str">
        <f>"是"</f>
        <v>是</v>
      </c>
      <c r="K9" s="3" t="str">
        <f>"4:高级中学"</f>
        <v>4:高级中学</v>
      </c>
      <c r="L9" s="3" t="str">
        <f aca="true" t="shared" si="6" ref="L9:M11">"暂无"</f>
        <v>暂无</v>
      </c>
      <c r="M9" s="3" t="str">
        <f t="shared" si="6"/>
        <v>暂无</v>
      </c>
      <c r="N9" s="3" t="str">
        <f t="shared" si="0"/>
        <v>小学</v>
      </c>
      <c r="O9" s="3" t="str">
        <f t="shared" si="1"/>
        <v>102:语文</v>
      </c>
      <c r="P9" s="3" t="str">
        <f t="shared" si="2"/>
        <v>通过</v>
      </c>
    </row>
    <row r="10" spans="1:16" ht="42.75">
      <c r="A10" s="3" t="str">
        <f>"8"</f>
        <v>8</v>
      </c>
      <c r="B10" s="3" t="str">
        <f>"樊苏蔚"</f>
        <v>樊苏蔚</v>
      </c>
      <c r="C10" s="3" t="str">
        <f t="shared" si="3"/>
        <v>女        </v>
      </c>
      <c r="D10" s="3" t="str">
        <f t="shared" si="5"/>
        <v>壮族</v>
      </c>
      <c r="E10" s="3" t="str">
        <f>"1995年12月"</f>
        <v>1995年12月</v>
      </c>
      <c r="F10" s="3" t="str">
        <f>"广西师范学院小学教育壮汉双语专业"</f>
        <v>广西师范学院小学教育壮汉双语专业</v>
      </c>
      <c r="G10" s="3" t="str">
        <f>"小学教育壮汉双语专业"</f>
        <v>小学教育壮汉双语专业</v>
      </c>
      <c r="H10" s="3" t="str">
        <f>"专科无学位"</f>
        <v>专科无学位</v>
      </c>
      <c r="I10" s="3" t="str">
        <f>"2017.06.01"</f>
        <v>2017.06.01</v>
      </c>
      <c r="J10" s="3" t="str">
        <f>"是"</f>
        <v>是</v>
      </c>
      <c r="K10" s="3" t="str">
        <f>"0:暂未取得"</f>
        <v>0:暂未取得</v>
      </c>
      <c r="L10" s="3" t="str">
        <f t="shared" si="6"/>
        <v>暂无</v>
      </c>
      <c r="M10" s="3" t="str">
        <f t="shared" si="6"/>
        <v>暂无</v>
      </c>
      <c r="N10" s="3" t="str">
        <f t="shared" si="0"/>
        <v>小学</v>
      </c>
      <c r="O10" s="3" t="str">
        <f t="shared" si="1"/>
        <v>102:语文</v>
      </c>
      <c r="P10" s="3" t="str">
        <f t="shared" si="2"/>
        <v>通过</v>
      </c>
    </row>
    <row r="11" spans="1:16" ht="28.5">
      <c r="A11" s="3" t="str">
        <f>"9"</f>
        <v>9</v>
      </c>
      <c r="B11" s="3" t="str">
        <f>"莫喜雲"</f>
        <v>莫喜雲</v>
      </c>
      <c r="C11" s="3" t="str">
        <f t="shared" si="3"/>
        <v>女        </v>
      </c>
      <c r="D11" s="3" t="str">
        <f t="shared" si="5"/>
        <v>壮族</v>
      </c>
      <c r="E11" s="3" t="str">
        <f>"1995年11月"</f>
        <v>1995年11月</v>
      </c>
      <c r="F11" s="3" t="str">
        <f>"广西幼儿师范高等专科学校学前教育"</f>
        <v>广西幼儿师范高等专科学校学前教育</v>
      </c>
      <c r="G11" s="3" t="str">
        <f>"学前教育"</f>
        <v>学前教育</v>
      </c>
      <c r="H11" s="3" t="str">
        <f>"专科无学位"</f>
        <v>专科无学位</v>
      </c>
      <c r="I11" s="3" t="str">
        <f>"2017.07.01"</f>
        <v>2017.07.01</v>
      </c>
      <c r="J11" s="3" t="str">
        <f>"是"</f>
        <v>是</v>
      </c>
      <c r="K11" s="3" t="str">
        <f>"1:幼儿园"</f>
        <v>1:幼儿园</v>
      </c>
      <c r="L11" s="3" t="str">
        <f t="shared" si="6"/>
        <v>暂无</v>
      </c>
      <c r="M11" s="3" t="str">
        <f t="shared" si="6"/>
        <v>暂无</v>
      </c>
      <c r="N11" s="3" t="str">
        <f t="shared" si="0"/>
        <v>小学</v>
      </c>
      <c r="O11" s="3" t="str">
        <f t="shared" si="1"/>
        <v>102:语文</v>
      </c>
      <c r="P11" s="3" t="str">
        <f t="shared" si="2"/>
        <v>通过</v>
      </c>
    </row>
    <row r="12" spans="1:16" ht="42.75">
      <c r="A12" s="3" t="str">
        <f>"10"</f>
        <v>10</v>
      </c>
      <c r="B12" s="3" t="str">
        <f>"李峥臻"</f>
        <v>李峥臻</v>
      </c>
      <c r="C12" s="3" t="str">
        <f t="shared" si="3"/>
        <v>女        </v>
      </c>
      <c r="D12" s="3" t="str">
        <f t="shared" si="5"/>
        <v>壮族</v>
      </c>
      <c r="E12" s="3" t="str">
        <f>"1995年02月"</f>
        <v>1995年02月</v>
      </c>
      <c r="F12" s="3" t="str">
        <f>"广西幼儿师范高等专科学校学前教育专业"</f>
        <v>广西幼儿师范高等专科学校学前教育专业</v>
      </c>
      <c r="G12" s="3" t="str">
        <f>"学前教育专业"</f>
        <v>学前教育专业</v>
      </c>
      <c r="H12" s="3" t="str">
        <f>"专科无学位"</f>
        <v>专科无学位</v>
      </c>
      <c r="I12" s="3" t="str">
        <f>"2017.07.01"</f>
        <v>2017.07.01</v>
      </c>
      <c r="J12" s="3" t="str">
        <f>"是"</f>
        <v>是</v>
      </c>
      <c r="K12" s="3" t="str">
        <f>"1:幼儿园"</f>
        <v>1:幼儿园</v>
      </c>
      <c r="L12" s="3" t="str">
        <f>"2017届毕业生填暂无"</f>
        <v>2017届毕业生填暂无</v>
      </c>
      <c r="M12" s="3" t="str">
        <f>"2017届毕业生填暂无"</f>
        <v>2017届毕业生填暂无</v>
      </c>
      <c r="N12" s="3" t="str">
        <f t="shared" si="0"/>
        <v>小学</v>
      </c>
      <c r="O12" s="3" t="str">
        <f t="shared" si="1"/>
        <v>102:语文</v>
      </c>
      <c r="P12" s="3" t="str">
        <f t="shared" si="2"/>
        <v>通过</v>
      </c>
    </row>
    <row r="13" spans="1:16" ht="42.75">
      <c r="A13" s="3" t="str">
        <f>"11"</f>
        <v>11</v>
      </c>
      <c r="B13" s="3" t="str">
        <f>"蓝芝亮"</f>
        <v>蓝芝亮</v>
      </c>
      <c r="C13" s="3" t="str">
        <f t="shared" si="3"/>
        <v>女        </v>
      </c>
      <c r="D13" s="3" t="str">
        <f t="shared" si="5"/>
        <v>壮族</v>
      </c>
      <c r="E13" s="3" t="str">
        <f>"1991年08月"</f>
        <v>1991年08月</v>
      </c>
      <c r="F13" s="3" t="str">
        <f>"桂林师范高等专科学校初等教育"</f>
        <v>桂林师范高等专科学校初等教育</v>
      </c>
      <c r="G13" s="3" t="str">
        <f>"初等教育"</f>
        <v>初等教育</v>
      </c>
      <c r="H13" s="3" t="str">
        <f>"专科无学位"</f>
        <v>专科无学位</v>
      </c>
      <c r="I13" s="3" t="str">
        <f>"2016.06.01"</f>
        <v>2016.06.01</v>
      </c>
      <c r="J13" s="3" t="str">
        <f>"是"</f>
        <v>是</v>
      </c>
      <c r="K13" s="3" t="str">
        <f>"2:小学"</f>
        <v>2:小学</v>
      </c>
      <c r="L13" s="3" t="str">
        <f>"20164503022000385"</f>
        <v>20164503022000385</v>
      </c>
      <c r="M13" s="3" t="str">
        <f>"116711201606001302"</f>
        <v>116711201606001302</v>
      </c>
      <c r="N13" s="3" t="str">
        <f t="shared" si="0"/>
        <v>小学</v>
      </c>
      <c r="O13" s="3" t="str">
        <f t="shared" si="1"/>
        <v>102:语文</v>
      </c>
      <c r="P13" s="3" t="str">
        <f t="shared" si="2"/>
        <v>通过</v>
      </c>
    </row>
    <row r="14" spans="1:16" ht="42.75">
      <c r="A14" s="3" t="str">
        <f>"12"</f>
        <v>12</v>
      </c>
      <c r="B14" s="3" t="str">
        <f>"罗晓慧"</f>
        <v>罗晓慧</v>
      </c>
      <c r="C14" s="3" t="str">
        <f t="shared" si="3"/>
        <v>女        </v>
      </c>
      <c r="D14" s="3" t="str">
        <f t="shared" si="5"/>
        <v>壮族</v>
      </c>
      <c r="E14" s="3" t="str">
        <f>"1994年03月"</f>
        <v>1994年03月</v>
      </c>
      <c r="F14" s="3" t="str">
        <f>"广西师范大学漓江学院播音与主持艺术"</f>
        <v>广西师范大学漓江学院播音与主持艺术</v>
      </c>
      <c r="G14" s="3" t="str">
        <f>"播音与主持艺术"</f>
        <v>播音与主持艺术</v>
      </c>
      <c r="H14" s="3" t="str">
        <f>"本科学士"</f>
        <v>本科学士</v>
      </c>
      <c r="I14" s="3" t="str">
        <f>"2017.06.01"</f>
        <v>2017.06.01</v>
      </c>
      <c r="J14" s="3" t="str">
        <f>"不是"</f>
        <v>不是</v>
      </c>
      <c r="K14" s="3" t="str">
        <f>"2:小学"</f>
        <v>2:小学</v>
      </c>
      <c r="L14" s="3" t="str">
        <f>"20174503022002706"</f>
        <v>20174503022002706</v>
      </c>
      <c r="M14" s="3" t="str">
        <f>"136411201705002008"</f>
        <v>136411201705002008</v>
      </c>
      <c r="N14" s="3" t="str">
        <f t="shared" si="0"/>
        <v>小学</v>
      </c>
      <c r="O14" s="3" t="str">
        <f t="shared" si="1"/>
        <v>102:语文</v>
      </c>
      <c r="P14" s="3" t="str">
        <f t="shared" si="2"/>
        <v>通过</v>
      </c>
    </row>
    <row r="15" spans="1:16" ht="42.75">
      <c r="A15" s="3" t="str">
        <f>"13"</f>
        <v>13</v>
      </c>
      <c r="B15" s="3" t="str">
        <f>"许坤宝"</f>
        <v>许坤宝</v>
      </c>
      <c r="C15" s="3" t="str">
        <f t="shared" si="3"/>
        <v>女        </v>
      </c>
      <c r="D15" s="3" t="str">
        <f>"仫佬族"</f>
        <v>仫佬族</v>
      </c>
      <c r="E15" s="3" t="str">
        <f>"1994年01月"</f>
        <v>1994年01月</v>
      </c>
      <c r="F15" s="3" t="str">
        <f>"广西师范学院师园学院小学教育"</f>
        <v>广西师范学院师园学院小学教育</v>
      </c>
      <c r="G15" s="3" t="str">
        <f>"小学教育"</f>
        <v>小学教育</v>
      </c>
      <c r="H15" s="3" t="str">
        <f>"本科学士"</f>
        <v>本科学士</v>
      </c>
      <c r="I15" s="3" t="str">
        <f>"2017.06.01"</f>
        <v>2017.06.01</v>
      </c>
      <c r="J15" s="3" t="str">
        <f>"是"</f>
        <v>是</v>
      </c>
      <c r="K15" s="3" t="str">
        <f>"2:小学"</f>
        <v>2:小学</v>
      </c>
      <c r="L15" s="3" t="str">
        <f>"2017届毕业生填暂无"</f>
        <v>2017届毕业生填暂无</v>
      </c>
      <c r="M15" s="3" t="str">
        <f>"2017届毕业生填暂无"</f>
        <v>2017届毕业生填暂无</v>
      </c>
      <c r="N15" s="3" t="str">
        <f t="shared" si="0"/>
        <v>小学</v>
      </c>
      <c r="O15" s="3" t="str">
        <f t="shared" si="1"/>
        <v>102:语文</v>
      </c>
      <c r="P15" s="3" t="str">
        <f t="shared" si="2"/>
        <v>通过</v>
      </c>
    </row>
    <row r="16" spans="1:16" ht="28.5">
      <c r="A16" s="3" t="str">
        <f>"14"</f>
        <v>14</v>
      </c>
      <c r="B16" s="3" t="str">
        <f>"魏罗缘"</f>
        <v>魏罗缘</v>
      </c>
      <c r="C16" s="3" t="str">
        <f t="shared" si="3"/>
        <v>女        </v>
      </c>
      <c r="D16" s="3" t="str">
        <f>"壮族"</f>
        <v>壮族</v>
      </c>
      <c r="E16" s="3" t="str">
        <f>"1993年12月"</f>
        <v>1993年12月</v>
      </c>
      <c r="F16" s="3" t="str">
        <f>"河池学院学前教育"</f>
        <v>河池学院学前教育</v>
      </c>
      <c r="G16" s="3" t="str">
        <f>"学前教育"</f>
        <v>学前教育</v>
      </c>
      <c r="H16" s="3" t="str">
        <f>"本科学士"</f>
        <v>本科学士</v>
      </c>
      <c r="I16" s="3" t="str">
        <f>"2017.06.01"</f>
        <v>2017.06.01</v>
      </c>
      <c r="J16" s="3" t="str">
        <f>"是"</f>
        <v>是</v>
      </c>
      <c r="K16" s="3" t="str">
        <f>"1:幼儿园"</f>
        <v>1:幼儿园</v>
      </c>
      <c r="L16" s="3" t="str">
        <f>"暂无"</f>
        <v>暂无</v>
      </c>
      <c r="M16" s="3" t="str">
        <f>"暂无"</f>
        <v>暂无</v>
      </c>
      <c r="N16" s="3" t="str">
        <f t="shared" si="0"/>
        <v>小学</v>
      </c>
      <c r="O16" s="3" t="str">
        <f t="shared" si="1"/>
        <v>102:语文</v>
      </c>
      <c r="P16" s="3" t="str">
        <f t="shared" si="2"/>
        <v>通过</v>
      </c>
    </row>
    <row r="17" spans="1:16" ht="42.75">
      <c r="A17" s="3" t="str">
        <f>"15"</f>
        <v>15</v>
      </c>
      <c r="B17" s="3" t="str">
        <f>"樊新美"</f>
        <v>樊新美</v>
      </c>
      <c r="C17" s="3" t="str">
        <f t="shared" si="3"/>
        <v>女        </v>
      </c>
      <c r="D17" s="3" t="str">
        <f>"壮族"</f>
        <v>壮族</v>
      </c>
      <c r="E17" s="3" t="str">
        <f>"1992年04月"</f>
        <v>1992年04月</v>
      </c>
      <c r="F17" s="3" t="str">
        <f>"桂林师范高等专科学校思想政治教育"</f>
        <v>桂林师范高等专科学校思想政治教育</v>
      </c>
      <c r="G17" s="3" t="str">
        <f>"思想政治教育"</f>
        <v>思想政治教育</v>
      </c>
      <c r="H17" s="3" t="str">
        <f>"专科无学位"</f>
        <v>专科无学位</v>
      </c>
      <c r="I17" s="3" t="str">
        <f>"2015.06.01"</f>
        <v>2015.06.01</v>
      </c>
      <c r="J17" s="3" t="str">
        <f>"是"</f>
        <v>是</v>
      </c>
      <c r="K17" s="3" t="str">
        <f>"3:初级中学"</f>
        <v>3:初级中学</v>
      </c>
      <c r="L17" s="3" t="str">
        <f>"20164520632000065"</f>
        <v>20164520632000065</v>
      </c>
      <c r="M17" s="3" t="str">
        <f>"116711201506000042"</f>
        <v>116711201506000042</v>
      </c>
      <c r="N17" s="3" t="str">
        <f t="shared" si="0"/>
        <v>小学</v>
      </c>
      <c r="O17" s="3" t="str">
        <f t="shared" si="1"/>
        <v>102:语文</v>
      </c>
      <c r="P17" s="3" t="str">
        <f t="shared" si="2"/>
        <v>通过</v>
      </c>
    </row>
    <row r="18" spans="1:16" ht="42.75">
      <c r="A18" s="3" t="str">
        <f>"16"</f>
        <v>16</v>
      </c>
      <c r="B18" s="3" t="str">
        <f>"韦艳萍"</f>
        <v>韦艳萍</v>
      </c>
      <c r="C18" s="3" t="str">
        <f t="shared" si="3"/>
        <v>女        </v>
      </c>
      <c r="D18" s="3" t="str">
        <f>"壮族"</f>
        <v>壮族</v>
      </c>
      <c r="E18" s="3" t="str">
        <f>"1994年12月"</f>
        <v>1994年12月</v>
      </c>
      <c r="F18" s="3" t="str">
        <f>"广西科技师范学院思想政治教育"</f>
        <v>广西科技师范学院思想政治教育</v>
      </c>
      <c r="G18" s="3" t="str">
        <f>"思想政治教育"</f>
        <v>思想政治教育</v>
      </c>
      <c r="H18" s="3" t="str">
        <f>"专科无学位"</f>
        <v>专科无学位</v>
      </c>
      <c r="I18" s="3" t="str">
        <f>"2016.06.01"</f>
        <v>2016.06.01</v>
      </c>
      <c r="J18" s="3" t="str">
        <f>"是"</f>
        <v>是</v>
      </c>
      <c r="K18" s="3" t="str">
        <f>"2:小学"</f>
        <v>2:小学</v>
      </c>
      <c r="L18" s="3" t="str">
        <f>"办理中"</f>
        <v>办理中</v>
      </c>
      <c r="M18" s="3" t="str">
        <f>"115461201606044932"</f>
        <v>115461201606044932</v>
      </c>
      <c r="N18" s="3" t="str">
        <f t="shared" si="0"/>
        <v>小学</v>
      </c>
      <c r="O18" s="3" t="str">
        <f t="shared" si="1"/>
        <v>102:语文</v>
      </c>
      <c r="P18" s="3" t="str">
        <f t="shared" si="2"/>
        <v>通过</v>
      </c>
    </row>
    <row r="19" spans="1:16" ht="28.5">
      <c r="A19" s="3" t="str">
        <f>"17"</f>
        <v>17</v>
      </c>
      <c r="B19" s="3" t="str">
        <f>"潘东妮"</f>
        <v>潘东妮</v>
      </c>
      <c r="C19" s="3" t="str">
        <f t="shared" si="3"/>
        <v>女        </v>
      </c>
      <c r="D19" s="3" t="str">
        <f>"瑶族"</f>
        <v>瑶族</v>
      </c>
      <c r="E19" s="3" t="str">
        <f>"1994年12月"</f>
        <v>1994年12月</v>
      </c>
      <c r="F19" s="3" t="str">
        <f>"广西民族师范学院国际贸易"</f>
        <v>广西民族师范学院国际贸易</v>
      </c>
      <c r="G19" s="3" t="str">
        <f>"国际贸易"</f>
        <v>国际贸易</v>
      </c>
      <c r="H19" s="3" t="str">
        <f>"本科学士"</f>
        <v>本科学士</v>
      </c>
      <c r="I19" s="3" t="str">
        <f>"2017.07.01"</f>
        <v>2017.07.01</v>
      </c>
      <c r="J19" s="3" t="str">
        <f>"不是"</f>
        <v>不是</v>
      </c>
      <c r="K19" s="3" t="str">
        <f>"0:暂未取得"</f>
        <v>0:暂未取得</v>
      </c>
      <c r="L19" s="3" t="str">
        <f>"暂无"</f>
        <v>暂无</v>
      </c>
      <c r="M19" s="3" t="str">
        <f>"暂无"</f>
        <v>暂无</v>
      </c>
      <c r="N19" s="3" t="str">
        <f t="shared" si="0"/>
        <v>小学</v>
      </c>
      <c r="O19" s="3" t="str">
        <f t="shared" si="1"/>
        <v>102:语文</v>
      </c>
      <c r="P19" s="3" t="str">
        <f t="shared" si="2"/>
        <v>通过</v>
      </c>
    </row>
    <row r="20" spans="1:16" ht="42.75">
      <c r="A20" s="3" t="str">
        <f>"18"</f>
        <v>18</v>
      </c>
      <c r="B20" s="3" t="str">
        <f>"易欣欣"</f>
        <v>易欣欣</v>
      </c>
      <c r="C20" s="3" t="str">
        <f t="shared" si="3"/>
        <v>女        </v>
      </c>
      <c r="D20" s="3" t="str">
        <f>"壮族"</f>
        <v>壮族</v>
      </c>
      <c r="E20" s="3" t="str">
        <f>"1995年11月"</f>
        <v>1995年11月</v>
      </c>
      <c r="F20" s="3" t="str">
        <f>"广西科技师范学院语文教育"</f>
        <v>广西科技师范学院语文教育</v>
      </c>
      <c r="G20" s="3" t="str">
        <f>"语文教育"</f>
        <v>语文教育</v>
      </c>
      <c r="H20" s="3" t="str">
        <f>"专科无学位"</f>
        <v>专科无学位</v>
      </c>
      <c r="I20" s="3" t="str">
        <f>"2016.07.01"</f>
        <v>2016.07.01</v>
      </c>
      <c r="J20" s="3" t="str">
        <f>"是"</f>
        <v>是</v>
      </c>
      <c r="K20" s="3" t="str">
        <f>"2:小学"</f>
        <v>2:小学</v>
      </c>
      <c r="L20" s="3" t="str">
        <f>"20164520022000445"</f>
        <v>20164520022000445</v>
      </c>
      <c r="M20" s="3" t="str">
        <f>"115461201606833848"</f>
        <v>115461201606833848</v>
      </c>
      <c r="N20" s="3" t="str">
        <f t="shared" si="0"/>
        <v>小学</v>
      </c>
      <c r="O20" s="3" t="str">
        <f t="shared" si="1"/>
        <v>102:语文</v>
      </c>
      <c r="P20" s="3" t="str">
        <f t="shared" si="2"/>
        <v>通过</v>
      </c>
    </row>
    <row r="21" spans="1:16" ht="42.75">
      <c r="A21" s="3" t="str">
        <f>"19"</f>
        <v>19</v>
      </c>
      <c r="B21" s="3" t="str">
        <f>"易欣欣"</f>
        <v>易欣欣</v>
      </c>
      <c r="C21" s="3" t="str">
        <f t="shared" si="3"/>
        <v>女        </v>
      </c>
      <c r="D21" s="3" t="str">
        <f>"壮族"</f>
        <v>壮族</v>
      </c>
      <c r="E21" s="3" t="str">
        <f>"1995年11月"</f>
        <v>1995年11月</v>
      </c>
      <c r="F21" s="3" t="str">
        <f>"广西科技师范学院语文教育"</f>
        <v>广西科技师范学院语文教育</v>
      </c>
      <c r="G21" s="3" t="str">
        <f>"语文教育"</f>
        <v>语文教育</v>
      </c>
      <c r="H21" s="3" t="str">
        <f>"专科无学位"</f>
        <v>专科无学位</v>
      </c>
      <c r="I21" s="3" t="str">
        <f>"2016.06.01"</f>
        <v>2016.06.01</v>
      </c>
      <c r="J21" s="3" t="str">
        <f>"是"</f>
        <v>是</v>
      </c>
      <c r="K21" s="3" t="str">
        <f>"2:小学"</f>
        <v>2:小学</v>
      </c>
      <c r="L21" s="3" t="str">
        <f>"20164520022000445"</f>
        <v>20164520022000445</v>
      </c>
      <c r="M21" s="3" t="str">
        <f>"115461201606833848"</f>
        <v>115461201606833848</v>
      </c>
      <c r="N21" s="3" t="str">
        <f t="shared" si="0"/>
        <v>小学</v>
      </c>
      <c r="O21" s="3" t="str">
        <f t="shared" si="1"/>
        <v>102:语文</v>
      </c>
      <c r="P21" s="3" t="str">
        <f t="shared" si="2"/>
        <v>通过</v>
      </c>
    </row>
    <row r="22" spans="1:16" ht="28.5">
      <c r="A22" s="3" t="str">
        <f>"20"</f>
        <v>20</v>
      </c>
      <c r="B22" s="3" t="str">
        <f>"侯天生"</f>
        <v>侯天生</v>
      </c>
      <c r="C22" s="3" t="str">
        <f>"男        "</f>
        <v>男        </v>
      </c>
      <c r="D22" s="3" t="str">
        <f>"汉族"</f>
        <v>汉族</v>
      </c>
      <c r="E22" s="3" t="str">
        <f>"1995年05月"</f>
        <v>1995年05月</v>
      </c>
      <c r="F22" s="3" t="str">
        <f>"玉林师范学院财务管理"</f>
        <v>玉林师范学院财务管理</v>
      </c>
      <c r="G22" s="3" t="str">
        <f>"财务管理"</f>
        <v>财务管理</v>
      </c>
      <c r="H22" s="3" t="str">
        <f>"本科学士"</f>
        <v>本科学士</v>
      </c>
      <c r="I22" s="3" t="str">
        <f>"2017.06.01"</f>
        <v>2017.06.01</v>
      </c>
      <c r="J22" s="3" t="str">
        <f>"不是"</f>
        <v>不是</v>
      </c>
      <c r="K22" s="3" t="str">
        <f>"0:暂未取得"</f>
        <v>0:暂未取得</v>
      </c>
      <c r="L22" s="3" t="str">
        <f>"无"</f>
        <v>无</v>
      </c>
      <c r="M22" s="3" t="str">
        <f>"无"</f>
        <v>无</v>
      </c>
      <c r="N22" s="3" t="str">
        <f t="shared" si="0"/>
        <v>小学</v>
      </c>
      <c r="O22" s="3" t="str">
        <f t="shared" si="1"/>
        <v>102:语文</v>
      </c>
      <c r="P22" s="3" t="str">
        <f t="shared" si="2"/>
        <v>通过</v>
      </c>
    </row>
    <row r="23" spans="1:16" ht="28.5">
      <c r="A23" s="3" t="str">
        <f>"21"</f>
        <v>21</v>
      </c>
      <c r="B23" s="3" t="str">
        <f>"韦海花"</f>
        <v>韦海花</v>
      </c>
      <c r="C23" s="3" t="str">
        <f>"女        "</f>
        <v>女        </v>
      </c>
      <c r="D23" s="3" t="str">
        <f>"壮族"</f>
        <v>壮族</v>
      </c>
      <c r="E23" s="3" t="str">
        <f>"1994年06月"</f>
        <v>1994年06月</v>
      </c>
      <c r="F23" s="3" t="str">
        <f>"梧州学院汉语言文学"</f>
        <v>梧州学院汉语言文学</v>
      </c>
      <c r="G23" s="3" t="str">
        <f>"汉语言文学"</f>
        <v>汉语言文学</v>
      </c>
      <c r="H23" s="3" t="str">
        <f>"本科学士"</f>
        <v>本科学士</v>
      </c>
      <c r="I23" s="3" t="str">
        <f>"2017.06.01"</f>
        <v>2017.06.01</v>
      </c>
      <c r="J23" s="3" t="str">
        <f>"不是"</f>
        <v>不是</v>
      </c>
      <c r="K23" s="3" t="str">
        <f>"3:初级中学"</f>
        <v>3:初级中学</v>
      </c>
      <c r="L23" s="3" t="str">
        <f>"暂无"</f>
        <v>暂无</v>
      </c>
      <c r="M23" s="3" t="str">
        <f>"暂无"</f>
        <v>暂无</v>
      </c>
      <c r="N23" s="3" t="str">
        <f t="shared" si="0"/>
        <v>小学</v>
      </c>
      <c r="O23" s="3" t="str">
        <f t="shared" si="1"/>
        <v>102:语文</v>
      </c>
      <c r="P23" s="3" t="str">
        <f t="shared" si="2"/>
        <v>通过</v>
      </c>
    </row>
    <row r="24" spans="1:16" ht="42.75">
      <c r="A24" s="3" t="str">
        <f>"22"</f>
        <v>22</v>
      </c>
      <c r="B24" s="3" t="str">
        <f>"葛佳佳"</f>
        <v>葛佳佳</v>
      </c>
      <c r="C24" s="3" t="str">
        <f>"女        "</f>
        <v>女        </v>
      </c>
      <c r="D24" s="3" t="str">
        <f>"汉族"</f>
        <v>汉族</v>
      </c>
      <c r="E24" s="3" t="str">
        <f>"1990年08月"</f>
        <v>1990年08月</v>
      </c>
      <c r="F24" s="3" t="str">
        <f>"广西幼儿师范高等专科学校英语教育学前教育方向"</f>
        <v>广西幼儿师范高等专科学校英语教育学前教育方向</v>
      </c>
      <c r="G24" s="3" t="str">
        <f>"英语教育学前教育方向"</f>
        <v>英语教育学前教育方向</v>
      </c>
      <c r="H24" s="3" t="str">
        <f>"专科无学位"</f>
        <v>专科无学位</v>
      </c>
      <c r="I24" s="3" t="str">
        <f>"2014.06.01"</f>
        <v>2014.06.01</v>
      </c>
      <c r="J24" s="3" t="str">
        <f>"是"</f>
        <v>是</v>
      </c>
      <c r="K24" s="3" t="str">
        <f>"2:小学"</f>
        <v>2:小学</v>
      </c>
      <c r="L24" s="3" t="str">
        <f>"20164520822000028"</f>
        <v>20164520822000028</v>
      </c>
      <c r="M24" s="3" t="str">
        <f>"142201201406001251"</f>
        <v>142201201406001251</v>
      </c>
      <c r="N24" s="3" t="str">
        <f t="shared" si="0"/>
        <v>小学</v>
      </c>
      <c r="O24" s="3" t="str">
        <f t="shared" si="1"/>
        <v>102:语文</v>
      </c>
      <c r="P24" s="3" t="str">
        <f t="shared" si="2"/>
        <v>通过</v>
      </c>
    </row>
    <row r="25" spans="1:16" ht="28.5">
      <c r="A25" s="3" t="str">
        <f>"23"</f>
        <v>23</v>
      </c>
      <c r="B25" s="3" t="str">
        <f>"王贞荣"</f>
        <v>王贞荣</v>
      </c>
      <c r="C25" s="3" t="str">
        <f>"女        "</f>
        <v>女        </v>
      </c>
      <c r="D25" s="3" t="str">
        <f aca="true" t="shared" si="7" ref="D25:D32">"壮族"</f>
        <v>壮族</v>
      </c>
      <c r="E25" s="3" t="str">
        <f>"1995年03月"</f>
        <v>1995年03月</v>
      </c>
      <c r="F25" s="3" t="str">
        <f>"广西民族大学民族学"</f>
        <v>广西民族大学民族学</v>
      </c>
      <c r="G25" s="3" t="str">
        <f>"民族学"</f>
        <v>民族学</v>
      </c>
      <c r="H25" s="3" t="str">
        <f>"本科学士"</f>
        <v>本科学士</v>
      </c>
      <c r="I25" s="3" t="str">
        <f>"2017.07.01"</f>
        <v>2017.07.01</v>
      </c>
      <c r="J25" s="3" t="str">
        <f>"不是"</f>
        <v>不是</v>
      </c>
      <c r="K25" s="3" t="str">
        <f>"0:暂未取得"</f>
        <v>0:暂未取得</v>
      </c>
      <c r="L25" s="3" t="str">
        <f>"暂无"</f>
        <v>暂无</v>
      </c>
      <c r="M25" s="3" t="str">
        <f>"暂无"</f>
        <v>暂无</v>
      </c>
      <c r="N25" s="3" t="str">
        <f t="shared" si="0"/>
        <v>小学</v>
      </c>
      <c r="O25" s="3" t="str">
        <f t="shared" si="1"/>
        <v>102:语文</v>
      </c>
      <c r="P25" s="3" t="str">
        <f t="shared" si="2"/>
        <v>通过</v>
      </c>
    </row>
    <row r="26" spans="1:16" ht="42.75">
      <c r="A26" s="3" t="str">
        <f>"24"</f>
        <v>24</v>
      </c>
      <c r="B26" s="3" t="str">
        <f>"蓝竹林"</f>
        <v>蓝竹林</v>
      </c>
      <c r="C26" s="3" t="str">
        <f>"女        "</f>
        <v>女        </v>
      </c>
      <c r="D26" s="3" t="str">
        <f t="shared" si="7"/>
        <v>壮族</v>
      </c>
      <c r="E26" s="3" t="str">
        <f>"1996年09月"</f>
        <v>1996年09月</v>
      </c>
      <c r="F26" s="3" t="str">
        <f>"河池学院学前教育"</f>
        <v>河池学院学前教育</v>
      </c>
      <c r="G26" s="3" t="str">
        <f>"学前教育"</f>
        <v>学前教育</v>
      </c>
      <c r="H26" s="3" t="str">
        <f>"专科无学位"</f>
        <v>专科无学位</v>
      </c>
      <c r="I26" s="3" t="str">
        <f>"2017.06.01"</f>
        <v>2017.06.01</v>
      </c>
      <c r="J26" s="3" t="str">
        <f>"是"</f>
        <v>是</v>
      </c>
      <c r="K26" s="3" t="str">
        <f>"1:幼儿园"</f>
        <v>1:幼儿园</v>
      </c>
      <c r="L26" s="3" t="str">
        <f>"2017届毕业生填暂无"</f>
        <v>2017届毕业生填暂无</v>
      </c>
      <c r="M26" s="3" t="str">
        <f>"2017届毕业生填暂无"</f>
        <v>2017届毕业生填暂无</v>
      </c>
      <c r="N26" s="3" t="str">
        <f t="shared" si="0"/>
        <v>小学</v>
      </c>
      <c r="O26" s="3" t="str">
        <f t="shared" si="1"/>
        <v>102:语文</v>
      </c>
      <c r="P26" s="3" t="str">
        <f t="shared" si="2"/>
        <v>通过</v>
      </c>
    </row>
    <row r="27" spans="1:16" ht="28.5">
      <c r="A27" s="3" t="str">
        <f>"25"</f>
        <v>25</v>
      </c>
      <c r="B27" s="3" t="str">
        <f>"麦柳园"</f>
        <v>麦柳园</v>
      </c>
      <c r="C27" s="3" t="str">
        <f>"女        "</f>
        <v>女        </v>
      </c>
      <c r="D27" s="3" t="str">
        <f t="shared" si="7"/>
        <v>壮族</v>
      </c>
      <c r="E27" s="3" t="str">
        <f>"1991年04月"</f>
        <v>1991年04月</v>
      </c>
      <c r="F27" s="3" t="str">
        <f>"青海师范大学历史学"</f>
        <v>青海师范大学历史学</v>
      </c>
      <c r="G27" s="3" t="str">
        <f>"历史学"</f>
        <v>历史学</v>
      </c>
      <c r="H27" s="3" t="str">
        <f>"本科学士"</f>
        <v>本科学士</v>
      </c>
      <c r="I27" s="3" t="str">
        <f>"2017.07.01"</f>
        <v>2017.07.01</v>
      </c>
      <c r="J27" s="3" t="str">
        <f>"是"</f>
        <v>是</v>
      </c>
      <c r="K27" s="3" t="str">
        <f>"4:高级中学"</f>
        <v>4:高级中学</v>
      </c>
      <c r="L27" s="3" t="str">
        <f>"暂无"</f>
        <v>暂无</v>
      </c>
      <c r="M27" s="3" t="str">
        <f>"暂无"</f>
        <v>暂无</v>
      </c>
      <c r="N27" s="3" t="str">
        <f t="shared" si="0"/>
        <v>小学</v>
      </c>
      <c r="O27" s="3" t="str">
        <f t="shared" si="1"/>
        <v>102:语文</v>
      </c>
      <c r="P27" s="3" t="str">
        <f t="shared" si="2"/>
        <v>通过</v>
      </c>
    </row>
    <row r="28" spans="1:16" ht="42.75">
      <c r="A28" s="3" t="str">
        <f>"26"</f>
        <v>26</v>
      </c>
      <c r="B28" s="3" t="str">
        <f>"韦维"</f>
        <v>韦维</v>
      </c>
      <c r="C28" s="3" t="str">
        <f>"男        "</f>
        <v>男        </v>
      </c>
      <c r="D28" s="3" t="str">
        <f t="shared" si="7"/>
        <v>壮族</v>
      </c>
      <c r="E28" s="3" t="str">
        <f>"1996年10月"</f>
        <v>1996年10月</v>
      </c>
      <c r="F28" s="3" t="str">
        <f>"广西幼儿师范高等专科学校学前教育教育技术方向"</f>
        <v>广西幼儿师范高等专科学校学前教育教育技术方向</v>
      </c>
      <c r="G28" s="3" t="str">
        <f>"学前教育教育技术方向"</f>
        <v>学前教育教育技术方向</v>
      </c>
      <c r="H28" s="3" t="str">
        <f>"专科无学位"</f>
        <v>专科无学位</v>
      </c>
      <c r="I28" s="3" t="str">
        <f>"2017.06.01"</f>
        <v>2017.06.01</v>
      </c>
      <c r="J28" s="3" t="str">
        <f>"是"</f>
        <v>是</v>
      </c>
      <c r="K28" s="3" t="str">
        <f>"1:幼儿园"</f>
        <v>1:幼儿园</v>
      </c>
      <c r="L28" s="3" t="str">
        <f>"暂无"</f>
        <v>暂无</v>
      </c>
      <c r="M28" s="3" t="str">
        <f>"暂无"</f>
        <v>暂无</v>
      </c>
      <c r="N28" s="3" t="str">
        <f t="shared" si="0"/>
        <v>小学</v>
      </c>
      <c r="O28" s="3" t="str">
        <f t="shared" si="1"/>
        <v>102:语文</v>
      </c>
      <c r="P28" s="3" t="str">
        <f t="shared" si="2"/>
        <v>通过</v>
      </c>
    </row>
    <row r="29" spans="1:16" ht="42.75">
      <c r="A29" s="3" t="str">
        <f>"27"</f>
        <v>27</v>
      </c>
      <c r="B29" s="3" t="str">
        <f>"麦金月"</f>
        <v>麦金月</v>
      </c>
      <c r="C29" s="3" t="str">
        <f>"女        "</f>
        <v>女        </v>
      </c>
      <c r="D29" s="3" t="str">
        <f t="shared" si="7"/>
        <v>壮族</v>
      </c>
      <c r="E29" s="3" t="str">
        <f>"1994年06月"</f>
        <v>1994年06月</v>
      </c>
      <c r="F29" s="3" t="str">
        <f>"百色学院汉语"</f>
        <v>百色学院汉语</v>
      </c>
      <c r="G29" s="3" t="str">
        <f>"汉语"</f>
        <v>汉语</v>
      </c>
      <c r="H29" s="3" t="str">
        <f>"专科无学位"</f>
        <v>专科无学位</v>
      </c>
      <c r="I29" s="3" t="str">
        <f>"2017.06.01"</f>
        <v>2017.06.01</v>
      </c>
      <c r="J29" s="3" t="str">
        <f>"是"</f>
        <v>是</v>
      </c>
      <c r="K29" s="3" t="str">
        <f>"2:小学"</f>
        <v>2:小学</v>
      </c>
      <c r="L29" s="3" t="str">
        <f>"2017届毕业生填暂无"</f>
        <v>2017届毕业生填暂无</v>
      </c>
      <c r="M29" s="3" t="str">
        <f>"2017届毕业生填暂无"</f>
        <v>2017届毕业生填暂无</v>
      </c>
      <c r="N29" s="3" t="str">
        <f t="shared" si="0"/>
        <v>小学</v>
      </c>
      <c r="O29" s="3" t="str">
        <f t="shared" si="1"/>
        <v>102:语文</v>
      </c>
      <c r="P29" s="3" t="str">
        <f t="shared" si="2"/>
        <v>通过</v>
      </c>
    </row>
    <row r="30" spans="1:16" ht="42.75">
      <c r="A30" s="3" t="str">
        <f>"28"</f>
        <v>28</v>
      </c>
      <c r="B30" s="3" t="str">
        <f>"蓝万乐"</f>
        <v>蓝万乐</v>
      </c>
      <c r="C30" s="3" t="str">
        <f>"男        "</f>
        <v>男        </v>
      </c>
      <c r="D30" s="3" t="str">
        <f t="shared" si="7"/>
        <v>壮族</v>
      </c>
      <c r="E30" s="3" t="str">
        <f>"1987年11月"</f>
        <v>1987年11月</v>
      </c>
      <c r="F30" s="3" t="str">
        <f>"玉林师范学院汉语言文学"</f>
        <v>玉林师范学院汉语言文学</v>
      </c>
      <c r="G30" s="3" t="str">
        <f>"汉语言文学"</f>
        <v>汉语言文学</v>
      </c>
      <c r="H30" s="3" t="str">
        <f>"本科学士"</f>
        <v>本科学士</v>
      </c>
      <c r="I30" s="3" t="str">
        <f>"2011.06.01"</f>
        <v>2011.06.01</v>
      </c>
      <c r="J30" s="3" t="str">
        <f>"是"</f>
        <v>是</v>
      </c>
      <c r="K30" s="3" t="str">
        <f>"4:高级中学"</f>
        <v>4:高级中学</v>
      </c>
      <c r="L30" s="3" t="str">
        <f>"20114550041000930"</f>
        <v>20114550041000930</v>
      </c>
      <c r="M30" s="3" t="str">
        <f>"106061201105000088"</f>
        <v>106061201105000088</v>
      </c>
      <c r="N30" s="3" t="str">
        <f t="shared" si="0"/>
        <v>小学</v>
      </c>
      <c r="O30" s="3" t="str">
        <f t="shared" si="1"/>
        <v>102:语文</v>
      </c>
      <c r="P30" s="3" t="str">
        <f t="shared" si="2"/>
        <v>通过</v>
      </c>
    </row>
    <row r="31" spans="1:16" ht="28.5">
      <c r="A31" s="3" t="str">
        <f>"29"</f>
        <v>29</v>
      </c>
      <c r="B31" s="3" t="str">
        <f>"潘覃莹"</f>
        <v>潘覃莹</v>
      </c>
      <c r="C31" s="3" t="str">
        <f aca="true" t="shared" si="8" ref="C31:C37">"女        "</f>
        <v>女        </v>
      </c>
      <c r="D31" s="3" t="str">
        <f t="shared" si="7"/>
        <v>壮族</v>
      </c>
      <c r="E31" s="3" t="str">
        <f>"1994年01月"</f>
        <v>1994年01月</v>
      </c>
      <c r="F31" s="3" t="str">
        <f>"广西民族大学相思湖学院汉语言文学"</f>
        <v>广西民族大学相思湖学院汉语言文学</v>
      </c>
      <c r="G31" s="3" t="str">
        <f>"汉语言文学"</f>
        <v>汉语言文学</v>
      </c>
      <c r="H31" s="3" t="str">
        <f>"本科学士"</f>
        <v>本科学士</v>
      </c>
      <c r="I31" s="3" t="str">
        <f>"2017.06.01"</f>
        <v>2017.06.01</v>
      </c>
      <c r="J31" s="3" t="str">
        <f>"不是"</f>
        <v>不是</v>
      </c>
      <c r="K31" s="3" t="str">
        <f>"3:初级中学"</f>
        <v>3:初级中学</v>
      </c>
      <c r="L31" s="3" t="str">
        <f>"暂无"</f>
        <v>暂无</v>
      </c>
      <c r="M31" s="3" t="str">
        <f>"暂无"</f>
        <v>暂无</v>
      </c>
      <c r="N31" s="3" t="str">
        <f t="shared" si="0"/>
        <v>小学</v>
      </c>
      <c r="O31" s="3" t="str">
        <f t="shared" si="1"/>
        <v>102:语文</v>
      </c>
      <c r="P31" s="3" t="str">
        <f t="shared" si="2"/>
        <v>通过</v>
      </c>
    </row>
    <row r="32" spans="1:16" ht="42.75">
      <c r="A32" s="3" t="str">
        <f>"30"</f>
        <v>30</v>
      </c>
      <c r="B32" s="3" t="str">
        <f>"蓝安平"</f>
        <v>蓝安平</v>
      </c>
      <c r="C32" s="3" t="str">
        <f t="shared" si="8"/>
        <v>女        </v>
      </c>
      <c r="D32" s="3" t="str">
        <f t="shared" si="7"/>
        <v>壮族</v>
      </c>
      <c r="E32" s="3" t="str">
        <f>"1993年04月"</f>
        <v>1993年04月</v>
      </c>
      <c r="F32" s="3" t="str">
        <f>"广西师范学院师园学院汉语言文学"</f>
        <v>广西师范学院师园学院汉语言文学</v>
      </c>
      <c r="G32" s="3" t="str">
        <f>"汉语言文学"</f>
        <v>汉语言文学</v>
      </c>
      <c r="H32" s="3" t="str">
        <f>"本科学士"</f>
        <v>本科学士</v>
      </c>
      <c r="I32" s="3" t="str">
        <f>"2017.07.01"</f>
        <v>2017.07.01</v>
      </c>
      <c r="J32" s="3" t="str">
        <f>"是"</f>
        <v>是</v>
      </c>
      <c r="K32" s="3" t="str">
        <f>"0:暂未取得"</f>
        <v>0:暂未取得</v>
      </c>
      <c r="L32" s="3" t="str">
        <f>"2017届毕业生填暂无"</f>
        <v>2017届毕业生填暂无</v>
      </c>
      <c r="M32" s="3" t="str">
        <f>"2017届毕业生填暂无"</f>
        <v>2017届毕业生填暂无</v>
      </c>
      <c r="N32" s="3" t="str">
        <f t="shared" si="0"/>
        <v>小学</v>
      </c>
      <c r="O32" s="3" t="str">
        <f t="shared" si="1"/>
        <v>102:语文</v>
      </c>
      <c r="P32" s="3" t="str">
        <f t="shared" si="2"/>
        <v>通过</v>
      </c>
    </row>
    <row r="33" spans="1:16" ht="28.5">
      <c r="A33" s="3" t="str">
        <f>"31"</f>
        <v>31</v>
      </c>
      <c r="B33" s="3" t="str">
        <f>"莫冬怡"</f>
        <v>莫冬怡</v>
      </c>
      <c r="C33" s="3" t="str">
        <f t="shared" si="8"/>
        <v>女        </v>
      </c>
      <c r="D33" s="3" t="str">
        <f>"汉族"</f>
        <v>汉族</v>
      </c>
      <c r="E33" s="3" t="str">
        <f>"1997年02月"</f>
        <v>1997年02月</v>
      </c>
      <c r="F33" s="3" t="str">
        <f>"广西科技师范学院小学全科教育"</f>
        <v>广西科技师范学院小学全科教育</v>
      </c>
      <c r="G33" s="3" t="str">
        <f>"小学全科教育"</f>
        <v>小学全科教育</v>
      </c>
      <c r="H33" s="3" t="str">
        <f>"专科无学位"</f>
        <v>专科无学位</v>
      </c>
      <c r="I33" s="3" t="str">
        <f>"2017.07.01"</f>
        <v>2017.07.01</v>
      </c>
      <c r="J33" s="3" t="str">
        <f>"是"</f>
        <v>是</v>
      </c>
      <c r="K33" s="3" t="str">
        <f>"0:暂未取得"</f>
        <v>0:暂未取得</v>
      </c>
      <c r="L33" s="3" t="str">
        <f>"暂无"</f>
        <v>暂无</v>
      </c>
      <c r="M33" s="3" t="str">
        <f>"暂无"</f>
        <v>暂无</v>
      </c>
      <c r="N33" s="3" t="str">
        <f t="shared" si="0"/>
        <v>小学</v>
      </c>
      <c r="O33" s="3" t="str">
        <f t="shared" si="1"/>
        <v>102:语文</v>
      </c>
      <c r="P33" s="3" t="str">
        <f t="shared" si="2"/>
        <v>通过</v>
      </c>
    </row>
    <row r="34" spans="1:16" ht="28.5">
      <c r="A34" s="3" t="str">
        <f>"32"</f>
        <v>32</v>
      </c>
      <c r="B34" s="3" t="str">
        <f>"莫谭颖"</f>
        <v>莫谭颖</v>
      </c>
      <c r="C34" s="3" t="str">
        <f t="shared" si="8"/>
        <v>女        </v>
      </c>
      <c r="D34" s="3" t="str">
        <f>"壮族"</f>
        <v>壮族</v>
      </c>
      <c r="E34" s="3" t="str">
        <f>"1996年09月"</f>
        <v>1996年09月</v>
      </c>
      <c r="F34" s="3" t="str">
        <f>"广西幼儿师范高等专科学校学前教育"</f>
        <v>广西幼儿师范高等专科学校学前教育</v>
      </c>
      <c r="G34" s="3" t="str">
        <f>"学前教育"</f>
        <v>学前教育</v>
      </c>
      <c r="H34" s="3" t="str">
        <f>"专科无学位"</f>
        <v>专科无学位</v>
      </c>
      <c r="I34" s="3" t="str">
        <f>"2017.06.01"</f>
        <v>2017.06.01</v>
      </c>
      <c r="J34" s="3" t="str">
        <f>"是"</f>
        <v>是</v>
      </c>
      <c r="K34" s="3" t="str">
        <f>"1:幼儿园"</f>
        <v>1:幼儿园</v>
      </c>
      <c r="L34" s="3" t="str">
        <f>"暂无"</f>
        <v>暂无</v>
      </c>
      <c r="M34" s="3" t="str">
        <f>"暂无"</f>
        <v>暂无</v>
      </c>
      <c r="N34" s="3" t="str">
        <f t="shared" si="0"/>
        <v>小学</v>
      </c>
      <c r="O34" s="3" t="str">
        <f t="shared" si="1"/>
        <v>102:语文</v>
      </c>
      <c r="P34" s="3" t="str">
        <f t="shared" si="2"/>
        <v>通过</v>
      </c>
    </row>
    <row r="35" spans="1:16" ht="42.75">
      <c r="A35" s="3" t="str">
        <f>"33"</f>
        <v>33</v>
      </c>
      <c r="B35" s="3" t="str">
        <f>"黄吉萍"</f>
        <v>黄吉萍</v>
      </c>
      <c r="C35" s="3" t="str">
        <f t="shared" si="8"/>
        <v>女        </v>
      </c>
      <c r="D35" s="3" t="str">
        <f>"壮族"</f>
        <v>壮族</v>
      </c>
      <c r="E35" s="3" t="str">
        <f>"1997年07月"</f>
        <v>1997年07月</v>
      </c>
      <c r="F35" s="3" t="str">
        <f>"广西师范学院小学教育壮汉双语方向"</f>
        <v>广西师范学院小学教育壮汉双语方向</v>
      </c>
      <c r="G35" s="3" t="str">
        <f>"小学教育壮汉双语方向"</f>
        <v>小学教育壮汉双语方向</v>
      </c>
      <c r="H35" s="3" t="str">
        <f>"专科无学位"</f>
        <v>专科无学位</v>
      </c>
      <c r="I35" s="3" t="str">
        <f>"2017.06.01"</f>
        <v>2017.06.01</v>
      </c>
      <c r="J35" s="3" t="str">
        <f>"是"</f>
        <v>是</v>
      </c>
      <c r="K35" s="3" t="str">
        <f>"0:暂未取得"</f>
        <v>0:暂未取得</v>
      </c>
      <c r="L35" s="3" t="str">
        <f>"无"</f>
        <v>无</v>
      </c>
      <c r="M35" s="3" t="str">
        <f>"暂无"</f>
        <v>暂无</v>
      </c>
      <c r="N35" s="3" t="str">
        <f aca="true" t="shared" si="9" ref="N35:N66">"小学"</f>
        <v>小学</v>
      </c>
      <c r="O35" s="3" t="str">
        <f t="shared" si="1"/>
        <v>102:语文</v>
      </c>
      <c r="P35" s="3" t="str">
        <f aca="true" t="shared" si="10" ref="P35:P66">"通过"</f>
        <v>通过</v>
      </c>
    </row>
    <row r="36" spans="1:16" ht="28.5">
      <c r="A36" s="3" t="str">
        <f>"34"</f>
        <v>34</v>
      </c>
      <c r="B36" s="3" t="str">
        <f>"覃媛媛"</f>
        <v>覃媛媛</v>
      </c>
      <c r="C36" s="3" t="str">
        <f t="shared" si="8"/>
        <v>女        </v>
      </c>
      <c r="D36" s="3" t="str">
        <f>"仫佬族"</f>
        <v>仫佬族</v>
      </c>
      <c r="E36" s="3" t="str">
        <f>"1994年02月"</f>
        <v>1994年02月</v>
      </c>
      <c r="F36" s="3" t="str">
        <f>"广西民族师范学院汉语言文学"</f>
        <v>广西民族师范学院汉语言文学</v>
      </c>
      <c r="G36" s="3" t="str">
        <f>"汉语言文学"</f>
        <v>汉语言文学</v>
      </c>
      <c r="H36" s="3" t="str">
        <f>"本科学士"</f>
        <v>本科学士</v>
      </c>
      <c r="I36" s="3" t="str">
        <f>"2017.07.01"</f>
        <v>2017.07.01</v>
      </c>
      <c r="J36" s="3" t="str">
        <f>"不是"</f>
        <v>不是</v>
      </c>
      <c r="K36" s="3" t="str">
        <f>"4:高级中学"</f>
        <v>4:高级中学</v>
      </c>
      <c r="L36" s="3" t="str">
        <f>"暂无"</f>
        <v>暂无</v>
      </c>
      <c r="M36" s="3" t="str">
        <f>"暂无"</f>
        <v>暂无</v>
      </c>
      <c r="N36" s="3" t="str">
        <f t="shared" si="9"/>
        <v>小学</v>
      </c>
      <c r="O36" s="3" t="str">
        <f t="shared" si="1"/>
        <v>102:语文</v>
      </c>
      <c r="P36" s="3" t="str">
        <f t="shared" si="10"/>
        <v>通过</v>
      </c>
    </row>
    <row r="37" spans="1:16" ht="28.5">
      <c r="A37" s="3" t="str">
        <f>"35"</f>
        <v>35</v>
      </c>
      <c r="B37" s="3" t="str">
        <f>"韦梦月"</f>
        <v>韦梦月</v>
      </c>
      <c r="C37" s="3" t="str">
        <f t="shared" si="8"/>
        <v>女        </v>
      </c>
      <c r="D37" s="3" t="str">
        <f>"壮族"</f>
        <v>壮族</v>
      </c>
      <c r="E37" s="3" t="str">
        <f>"1994年11月"</f>
        <v>1994年11月</v>
      </c>
      <c r="F37" s="3" t="str">
        <f>"河池学院学前教育"</f>
        <v>河池学院学前教育</v>
      </c>
      <c r="G37" s="3" t="str">
        <f>"学前教育"</f>
        <v>学前教育</v>
      </c>
      <c r="H37" s="3" t="str">
        <f>"专科无学位"</f>
        <v>专科无学位</v>
      </c>
      <c r="I37" s="3" t="str">
        <f>"2017.06.01"</f>
        <v>2017.06.01</v>
      </c>
      <c r="J37" s="3" t="str">
        <f>"是"</f>
        <v>是</v>
      </c>
      <c r="K37" s="3" t="str">
        <f>"0:暂未取得"</f>
        <v>0:暂未取得</v>
      </c>
      <c r="L37" s="3" t="str">
        <f>"暂无"</f>
        <v>暂无</v>
      </c>
      <c r="M37" s="3" t="str">
        <f>"暂无"</f>
        <v>暂无</v>
      </c>
      <c r="N37" s="3" t="str">
        <f t="shared" si="9"/>
        <v>小学</v>
      </c>
      <c r="O37" s="3" t="str">
        <f t="shared" si="1"/>
        <v>102:语文</v>
      </c>
      <c r="P37" s="3" t="str">
        <f t="shared" si="10"/>
        <v>通过</v>
      </c>
    </row>
    <row r="38" spans="1:16" ht="42.75">
      <c r="A38" s="3" t="str">
        <f>"36"</f>
        <v>36</v>
      </c>
      <c r="B38" s="3" t="str">
        <f>"卢小放"</f>
        <v>卢小放</v>
      </c>
      <c r="C38" s="3" t="str">
        <f>"男        "</f>
        <v>男        </v>
      </c>
      <c r="D38" s="3" t="str">
        <f>"壮族"</f>
        <v>壮族</v>
      </c>
      <c r="E38" s="3" t="str">
        <f>"1993年02月"</f>
        <v>1993年02月</v>
      </c>
      <c r="F38" s="3" t="str">
        <f>"广西玉林师范学院对外汉语"</f>
        <v>广西玉林师范学院对外汉语</v>
      </c>
      <c r="G38" s="3" t="str">
        <f>"对外汉语"</f>
        <v>对外汉语</v>
      </c>
      <c r="H38" s="3" t="str">
        <f>"本科学士"</f>
        <v>本科学士</v>
      </c>
      <c r="I38" s="3" t="str">
        <f>"2016.06.01"</f>
        <v>2016.06.01</v>
      </c>
      <c r="J38" s="3" t="str">
        <f>"是"</f>
        <v>是</v>
      </c>
      <c r="K38" s="3" t="str">
        <f>"2:小学"</f>
        <v>2:小学</v>
      </c>
      <c r="L38" s="3" t="str">
        <f>"20164550121000644"</f>
        <v>20164550121000644</v>
      </c>
      <c r="M38" s="3" t="str">
        <f>"106061201605002614"</f>
        <v>106061201605002614</v>
      </c>
      <c r="N38" s="3" t="str">
        <f t="shared" si="9"/>
        <v>小学</v>
      </c>
      <c r="O38" s="3" t="str">
        <f t="shared" si="1"/>
        <v>102:语文</v>
      </c>
      <c r="P38" s="3" t="str">
        <f t="shared" si="10"/>
        <v>通过</v>
      </c>
    </row>
    <row r="39" spans="1:16" ht="42.75">
      <c r="A39" s="3" t="str">
        <f>"37"</f>
        <v>37</v>
      </c>
      <c r="B39" s="3" t="str">
        <f>"吴忠婉"</f>
        <v>吴忠婉</v>
      </c>
      <c r="C39" s="3" t="str">
        <f aca="true" t="shared" si="11" ref="C39:C46">"女        "</f>
        <v>女        </v>
      </c>
      <c r="D39" s="3" t="str">
        <f>"仫佬族"</f>
        <v>仫佬族</v>
      </c>
      <c r="E39" s="3" t="str">
        <f>"1994年10月"</f>
        <v>1994年10月</v>
      </c>
      <c r="F39" s="3" t="str">
        <f>"广西科技师范学院语文教育"</f>
        <v>广西科技师范学院语文教育</v>
      </c>
      <c r="G39" s="3" t="str">
        <f>"语文教育"</f>
        <v>语文教育</v>
      </c>
      <c r="H39" s="3" t="str">
        <f>"专科无学位"</f>
        <v>专科无学位</v>
      </c>
      <c r="I39" s="3" t="str">
        <f>"2016.07.01"</f>
        <v>2016.07.01</v>
      </c>
      <c r="J39" s="3" t="str">
        <f>"是"</f>
        <v>是</v>
      </c>
      <c r="K39" s="3" t="str">
        <f>"2:小学"</f>
        <v>2:小学</v>
      </c>
      <c r="L39" s="3" t="str">
        <f>"20164520022000280"</f>
        <v>20164520022000280</v>
      </c>
      <c r="M39" s="3" t="str">
        <f>"115461201606372101"</f>
        <v>115461201606372101</v>
      </c>
      <c r="N39" s="3" t="str">
        <f t="shared" si="9"/>
        <v>小学</v>
      </c>
      <c r="O39" s="3" t="str">
        <f t="shared" si="1"/>
        <v>102:语文</v>
      </c>
      <c r="P39" s="3" t="str">
        <f t="shared" si="10"/>
        <v>通过</v>
      </c>
    </row>
    <row r="40" spans="1:16" ht="42.75">
      <c r="A40" s="3" t="str">
        <f>"38"</f>
        <v>38</v>
      </c>
      <c r="B40" s="3" t="str">
        <f>"莫兰春"</f>
        <v>莫兰春</v>
      </c>
      <c r="C40" s="3" t="str">
        <f t="shared" si="11"/>
        <v>女        </v>
      </c>
      <c r="D40" s="3" t="str">
        <f>"壮族"</f>
        <v>壮族</v>
      </c>
      <c r="E40" s="3" t="str">
        <f>"1992年08月"</f>
        <v>1992年08月</v>
      </c>
      <c r="F40" s="3" t="str">
        <f>"广西科技师范学院语文教育"</f>
        <v>广西科技师范学院语文教育</v>
      </c>
      <c r="G40" s="3" t="str">
        <f>"语文教育"</f>
        <v>语文教育</v>
      </c>
      <c r="H40" s="3" t="str">
        <f>"专科无学位"</f>
        <v>专科无学位</v>
      </c>
      <c r="I40" s="3" t="str">
        <f>"2016.06.01"</f>
        <v>2016.06.01</v>
      </c>
      <c r="J40" s="3" t="str">
        <f>"是"</f>
        <v>是</v>
      </c>
      <c r="K40" s="3" t="str">
        <f>"2:小学"</f>
        <v>2:小学</v>
      </c>
      <c r="L40" s="3" t="str">
        <f>"20164520622000033"</f>
        <v>20164520622000033</v>
      </c>
      <c r="M40" s="3" t="str">
        <f>"115461201606008846"</f>
        <v>115461201606008846</v>
      </c>
      <c r="N40" s="3" t="str">
        <f t="shared" si="9"/>
        <v>小学</v>
      </c>
      <c r="O40" s="3" t="str">
        <f t="shared" si="1"/>
        <v>102:语文</v>
      </c>
      <c r="P40" s="3" t="str">
        <f t="shared" si="10"/>
        <v>通过</v>
      </c>
    </row>
    <row r="41" spans="1:16" ht="42.75">
      <c r="A41" s="3" t="str">
        <f>"39"</f>
        <v>39</v>
      </c>
      <c r="B41" s="3" t="str">
        <f>"樊秋凤"</f>
        <v>樊秋凤</v>
      </c>
      <c r="C41" s="3" t="str">
        <f t="shared" si="11"/>
        <v>女        </v>
      </c>
      <c r="D41" s="3" t="str">
        <f>"壮族"</f>
        <v>壮族</v>
      </c>
      <c r="E41" s="3" t="str">
        <f>"1988年10月"</f>
        <v>1988年10月</v>
      </c>
      <c r="F41" s="3" t="str">
        <f>"梧州学院国际经济与贸易专业"</f>
        <v>梧州学院国际经济与贸易专业</v>
      </c>
      <c r="G41" s="3" t="str">
        <f>"国际经济与贸易专业"</f>
        <v>国际经济与贸易专业</v>
      </c>
      <c r="H41" s="3" t="str">
        <f aca="true" t="shared" si="12" ref="H41:H46">"本科学士"</f>
        <v>本科学士</v>
      </c>
      <c r="I41" s="3" t="str">
        <f>"2013.06.01"</f>
        <v>2013.06.01</v>
      </c>
      <c r="J41" s="3" t="str">
        <f>"不是"</f>
        <v>不是</v>
      </c>
      <c r="K41" s="3" t="str">
        <f>"2:小学"</f>
        <v>2:小学</v>
      </c>
      <c r="L41" s="3" t="str">
        <f>"2016452036083"</f>
        <v>2016452036083</v>
      </c>
      <c r="M41" s="3" t="str">
        <f>"113541201305002174"</f>
        <v>113541201305002174</v>
      </c>
      <c r="N41" s="3" t="str">
        <f t="shared" si="9"/>
        <v>小学</v>
      </c>
      <c r="O41" s="3" t="str">
        <f t="shared" si="1"/>
        <v>102:语文</v>
      </c>
      <c r="P41" s="3" t="str">
        <f t="shared" si="10"/>
        <v>通过</v>
      </c>
    </row>
    <row r="42" spans="1:16" ht="42.75">
      <c r="A42" s="3" t="str">
        <f>"40"</f>
        <v>40</v>
      </c>
      <c r="B42" s="3" t="str">
        <f>"黄钟桃"</f>
        <v>黄钟桃</v>
      </c>
      <c r="C42" s="3" t="str">
        <f t="shared" si="11"/>
        <v>女        </v>
      </c>
      <c r="D42" s="3" t="str">
        <f>"壮族"</f>
        <v>壮族</v>
      </c>
      <c r="E42" s="3" t="str">
        <f>"1994年10月"</f>
        <v>1994年10月</v>
      </c>
      <c r="F42" s="3" t="str">
        <f>"贺州学院食品科学与工程"</f>
        <v>贺州学院食品科学与工程</v>
      </c>
      <c r="G42" s="3" t="str">
        <f>"食品科学与工程"</f>
        <v>食品科学与工程</v>
      </c>
      <c r="H42" s="3" t="str">
        <f t="shared" si="12"/>
        <v>本科学士</v>
      </c>
      <c r="I42" s="3" t="str">
        <f>"2017.06.01"</f>
        <v>2017.06.01</v>
      </c>
      <c r="J42" s="3" t="str">
        <f>"不是"</f>
        <v>不是</v>
      </c>
      <c r="K42" s="3" t="str">
        <f>"0:暂未取得"</f>
        <v>0:暂未取得</v>
      </c>
      <c r="L42" s="3" t="str">
        <f>"暂无"</f>
        <v>暂无</v>
      </c>
      <c r="M42" s="3" t="str">
        <f>"118381201705001548"</f>
        <v>118381201705001548</v>
      </c>
      <c r="N42" s="3" t="str">
        <f t="shared" si="9"/>
        <v>小学</v>
      </c>
      <c r="O42" s="3" t="str">
        <f aca="true" t="shared" si="13" ref="O42:O63">"103:数学"</f>
        <v>103:数学</v>
      </c>
      <c r="P42" s="3" t="str">
        <f t="shared" si="10"/>
        <v>通过</v>
      </c>
    </row>
    <row r="43" spans="1:16" ht="28.5">
      <c r="A43" s="3" t="str">
        <f>"41"</f>
        <v>41</v>
      </c>
      <c r="B43" s="3" t="str">
        <f>"张红莲"</f>
        <v>张红莲</v>
      </c>
      <c r="C43" s="3" t="str">
        <f t="shared" si="11"/>
        <v>女        </v>
      </c>
      <c r="D43" s="3" t="str">
        <f>"汉族"</f>
        <v>汉族</v>
      </c>
      <c r="E43" s="3" t="str">
        <f>"1990年10月"</f>
        <v>1990年10月</v>
      </c>
      <c r="F43" s="3" t="str">
        <f>"钦州学院海洋科学"</f>
        <v>钦州学院海洋科学</v>
      </c>
      <c r="G43" s="3" t="str">
        <f>"海洋科学"</f>
        <v>海洋科学</v>
      </c>
      <c r="H43" s="3" t="str">
        <f t="shared" si="12"/>
        <v>本科学士</v>
      </c>
      <c r="I43" s="3" t="str">
        <f>"2017.07.01"</f>
        <v>2017.07.01</v>
      </c>
      <c r="J43" s="3" t="str">
        <f>"不是"</f>
        <v>不是</v>
      </c>
      <c r="K43" s="3" t="str">
        <f>"2:小学"</f>
        <v>2:小学</v>
      </c>
      <c r="L43" s="3" t="str">
        <f>"暂无"</f>
        <v>暂无</v>
      </c>
      <c r="M43" s="3" t="str">
        <f>"暂无"</f>
        <v>暂无</v>
      </c>
      <c r="N43" s="3" t="str">
        <f t="shared" si="9"/>
        <v>小学</v>
      </c>
      <c r="O43" s="3" t="str">
        <f t="shared" si="13"/>
        <v>103:数学</v>
      </c>
      <c r="P43" s="3" t="str">
        <f t="shared" si="10"/>
        <v>通过</v>
      </c>
    </row>
    <row r="44" spans="1:16" ht="42.75">
      <c r="A44" s="3" t="str">
        <f>"42"</f>
        <v>42</v>
      </c>
      <c r="B44" s="3" t="str">
        <f>"秦小婷"</f>
        <v>秦小婷</v>
      </c>
      <c r="C44" s="3" t="str">
        <f t="shared" si="11"/>
        <v>女        </v>
      </c>
      <c r="D44" s="3" t="str">
        <f>"汉族"</f>
        <v>汉族</v>
      </c>
      <c r="E44" s="3" t="str">
        <f>"1990年01月"</f>
        <v>1990年01月</v>
      </c>
      <c r="F44" s="3" t="str">
        <f>"广西科技大学人力资源管理"</f>
        <v>广西科技大学人力资源管理</v>
      </c>
      <c r="G44" s="3" t="str">
        <f>"人力资源管理"</f>
        <v>人力资源管理</v>
      </c>
      <c r="H44" s="3" t="str">
        <f t="shared" si="12"/>
        <v>本科学士</v>
      </c>
      <c r="I44" s="3" t="str">
        <f>"2013.06.01"</f>
        <v>2013.06.01</v>
      </c>
      <c r="J44" s="3" t="str">
        <f>"不是"</f>
        <v>不是</v>
      </c>
      <c r="K44" s="3" t="str">
        <f>"2:小学"</f>
        <v>2:小学</v>
      </c>
      <c r="L44" s="3" t="str">
        <f>"暂无，正在认定中"</f>
        <v>暂无，正在认定中</v>
      </c>
      <c r="M44" s="3" t="str">
        <f>"105941201305017895"</f>
        <v>105941201305017895</v>
      </c>
      <c r="N44" s="3" t="str">
        <f t="shared" si="9"/>
        <v>小学</v>
      </c>
      <c r="O44" s="3" t="str">
        <f t="shared" si="13"/>
        <v>103:数学</v>
      </c>
      <c r="P44" s="3" t="str">
        <f t="shared" si="10"/>
        <v>通过</v>
      </c>
    </row>
    <row r="45" spans="1:16" ht="28.5">
      <c r="A45" s="3" t="str">
        <f>"43"</f>
        <v>43</v>
      </c>
      <c r="B45" s="3" t="str">
        <f>"蒙晓丹"</f>
        <v>蒙晓丹</v>
      </c>
      <c r="C45" s="3" t="str">
        <f t="shared" si="11"/>
        <v>女        </v>
      </c>
      <c r="D45" s="3" t="str">
        <f aca="true" t="shared" si="14" ref="D45:D59">"壮族"</f>
        <v>壮族</v>
      </c>
      <c r="E45" s="3" t="str">
        <f>"1991年01月"</f>
        <v>1991年01月</v>
      </c>
      <c r="F45" s="3" t="str">
        <f>"百色学院小学教育"</f>
        <v>百色学院小学教育</v>
      </c>
      <c r="G45" s="3" t="str">
        <f>"小学教育"</f>
        <v>小学教育</v>
      </c>
      <c r="H45" s="3" t="str">
        <f t="shared" si="12"/>
        <v>本科学士</v>
      </c>
      <c r="I45" s="3" t="str">
        <f>"2017.07.01"</f>
        <v>2017.07.01</v>
      </c>
      <c r="J45" s="3" t="str">
        <f>"是"</f>
        <v>是</v>
      </c>
      <c r="K45" s="3" t="str">
        <f>"2:小学"</f>
        <v>2:小学</v>
      </c>
      <c r="L45" s="3" t="str">
        <f>"暂无"</f>
        <v>暂无</v>
      </c>
      <c r="M45" s="3" t="str">
        <f>"暂无"</f>
        <v>暂无</v>
      </c>
      <c r="N45" s="3" t="str">
        <f t="shared" si="9"/>
        <v>小学</v>
      </c>
      <c r="O45" s="3" t="str">
        <f t="shared" si="13"/>
        <v>103:数学</v>
      </c>
      <c r="P45" s="3" t="str">
        <f t="shared" si="10"/>
        <v>通过</v>
      </c>
    </row>
    <row r="46" spans="1:16" ht="42.75">
      <c r="A46" s="3" t="str">
        <f>"44"</f>
        <v>44</v>
      </c>
      <c r="B46" s="3" t="str">
        <f>"韦艳玲"</f>
        <v>韦艳玲</v>
      </c>
      <c r="C46" s="3" t="str">
        <f t="shared" si="11"/>
        <v>女        </v>
      </c>
      <c r="D46" s="3" t="str">
        <f t="shared" si="14"/>
        <v>壮族</v>
      </c>
      <c r="E46" s="3" t="str">
        <f>"1993年02月"</f>
        <v>1993年02月</v>
      </c>
      <c r="F46" s="3" t="str">
        <f>"广西民族大学相思湖学院国际经济与贸易"</f>
        <v>广西民族大学相思湖学院国际经济与贸易</v>
      </c>
      <c r="G46" s="3" t="str">
        <f>"国际经济与贸易"</f>
        <v>国际经济与贸易</v>
      </c>
      <c r="H46" s="3" t="str">
        <f t="shared" si="12"/>
        <v>本科学士</v>
      </c>
      <c r="I46" s="3" t="str">
        <f>"2017.07.01"</f>
        <v>2017.07.01</v>
      </c>
      <c r="J46" s="3" t="str">
        <f>"不是"</f>
        <v>不是</v>
      </c>
      <c r="K46" s="3" t="str">
        <f>"0:暂未取得"</f>
        <v>0:暂未取得</v>
      </c>
      <c r="L46" s="3" t="str">
        <f>"2017届毕业生填暂无"</f>
        <v>2017届毕业生填暂无</v>
      </c>
      <c r="M46" s="3" t="str">
        <f>"2017届毕业生填暂无"</f>
        <v>2017届毕业生填暂无</v>
      </c>
      <c r="N46" s="3" t="str">
        <f t="shared" si="9"/>
        <v>小学</v>
      </c>
      <c r="O46" s="3" t="str">
        <f t="shared" si="13"/>
        <v>103:数学</v>
      </c>
      <c r="P46" s="3" t="str">
        <f t="shared" si="10"/>
        <v>通过</v>
      </c>
    </row>
    <row r="47" spans="1:16" ht="28.5">
      <c r="A47" s="3" t="str">
        <f>"45"</f>
        <v>45</v>
      </c>
      <c r="B47" s="3" t="str">
        <f>"蓝宇"</f>
        <v>蓝宇</v>
      </c>
      <c r="C47" s="3" t="str">
        <f>"男        "</f>
        <v>男        </v>
      </c>
      <c r="D47" s="3" t="str">
        <f t="shared" si="14"/>
        <v>壮族</v>
      </c>
      <c r="E47" s="3" t="str">
        <f>"1995年06月"</f>
        <v>1995年06月</v>
      </c>
      <c r="F47" s="3" t="str">
        <f>"广西科技师范学院小学全科教育"</f>
        <v>广西科技师范学院小学全科教育</v>
      </c>
      <c r="G47" s="3" t="str">
        <f>"小学全科教育"</f>
        <v>小学全科教育</v>
      </c>
      <c r="H47" s="3" t="str">
        <f>"专科无学位"</f>
        <v>专科无学位</v>
      </c>
      <c r="I47" s="3" t="str">
        <f>"2017.07.01"</f>
        <v>2017.07.01</v>
      </c>
      <c r="J47" s="3" t="str">
        <f>"是"</f>
        <v>是</v>
      </c>
      <c r="K47" s="3" t="str">
        <f>"0:暂未取得"</f>
        <v>0:暂未取得</v>
      </c>
      <c r="L47" s="3" t="str">
        <f aca="true" t="shared" si="15" ref="L47:M49">"无"</f>
        <v>无</v>
      </c>
      <c r="M47" s="3" t="str">
        <f t="shared" si="15"/>
        <v>无</v>
      </c>
      <c r="N47" s="3" t="str">
        <f t="shared" si="9"/>
        <v>小学</v>
      </c>
      <c r="O47" s="3" t="str">
        <f t="shared" si="13"/>
        <v>103:数学</v>
      </c>
      <c r="P47" s="3" t="str">
        <f t="shared" si="10"/>
        <v>通过</v>
      </c>
    </row>
    <row r="48" spans="1:16" ht="28.5">
      <c r="A48" s="3" t="str">
        <f>"46"</f>
        <v>46</v>
      </c>
      <c r="B48" s="3" t="str">
        <f>"李雅艳"</f>
        <v>李雅艳</v>
      </c>
      <c r="C48" s="3" t="str">
        <f>"女        "</f>
        <v>女        </v>
      </c>
      <c r="D48" s="3" t="str">
        <f t="shared" si="14"/>
        <v>壮族</v>
      </c>
      <c r="E48" s="3" t="str">
        <f>"1993年09月"</f>
        <v>1993年09月</v>
      </c>
      <c r="F48" s="3" t="str">
        <f>"广西师范大学工商管理"</f>
        <v>广西师范大学工商管理</v>
      </c>
      <c r="G48" s="3" t="str">
        <f>"工商管理"</f>
        <v>工商管理</v>
      </c>
      <c r="H48" s="3" t="str">
        <f aca="true" t="shared" si="16" ref="H48:H56">"本科学士"</f>
        <v>本科学士</v>
      </c>
      <c r="I48" s="3" t="str">
        <f>"2017.07.01"</f>
        <v>2017.07.01</v>
      </c>
      <c r="J48" s="3" t="str">
        <f aca="true" t="shared" si="17" ref="J48:J56">"不是"</f>
        <v>不是</v>
      </c>
      <c r="K48" s="3" t="str">
        <f>"0:暂未取得"</f>
        <v>0:暂未取得</v>
      </c>
      <c r="L48" s="3" t="str">
        <f t="shared" si="15"/>
        <v>无</v>
      </c>
      <c r="M48" s="3" t="str">
        <f t="shared" si="15"/>
        <v>无</v>
      </c>
      <c r="N48" s="3" t="str">
        <f t="shared" si="9"/>
        <v>小学</v>
      </c>
      <c r="O48" s="3" t="str">
        <f t="shared" si="13"/>
        <v>103:数学</v>
      </c>
      <c r="P48" s="3" t="str">
        <f t="shared" si="10"/>
        <v>通过</v>
      </c>
    </row>
    <row r="49" spans="1:16" ht="42.75">
      <c r="A49" s="3" t="str">
        <f>"47"</f>
        <v>47</v>
      </c>
      <c r="B49" s="3" t="str">
        <f>"韦晓军"</f>
        <v>韦晓军</v>
      </c>
      <c r="C49" s="3" t="str">
        <f>"男        "</f>
        <v>男        </v>
      </c>
      <c r="D49" s="3" t="str">
        <f t="shared" si="14"/>
        <v>壮族</v>
      </c>
      <c r="E49" s="3" t="str">
        <f>"1993年12月"</f>
        <v>1993年12月</v>
      </c>
      <c r="F49" s="3" t="str">
        <f>"广西科技大学电气工程及其自动化"</f>
        <v>广西科技大学电气工程及其自动化</v>
      </c>
      <c r="G49" s="3" t="str">
        <f>"电气工程及其自动化"</f>
        <v>电气工程及其自动化</v>
      </c>
      <c r="H49" s="3" t="str">
        <f t="shared" si="16"/>
        <v>本科学士</v>
      </c>
      <c r="I49" s="3" t="str">
        <f>"2017.07.01"</f>
        <v>2017.07.01</v>
      </c>
      <c r="J49" s="3" t="str">
        <f t="shared" si="17"/>
        <v>不是</v>
      </c>
      <c r="K49" s="3" t="str">
        <f>"0:暂未取得"</f>
        <v>0:暂未取得</v>
      </c>
      <c r="L49" s="3" t="str">
        <f t="shared" si="15"/>
        <v>无</v>
      </c>
      <c r="M49" s="3" t="str">
        <f t="shared" si="15"/>
        <v>无</v>
      </c>
      <c r="N49" s="3" t="str">
        <f t="shared" si="9"/>
        <v>小学</v>
      </c>
      <c r="O49" s="3" t="str">
        <f t="shared" si="13"/>
        <v>103:数学</v>
      </c>
      <c r="P49" s="3" t="str">
        <f t="shared" si="10"/>
        <v>通过</v>
      </c>
    </row>
    <row r="50" spans="1:16" ht="42.75">
      <c r="A50" s="3" t="str">
        <f>"48"</f>
        <v>48</v>
      </c>
      <c r="B50" s="3" t="str">
        <f>"潘小宁"</f>
        <v>潘小宁</v>
      </c>
      <c r="C50" s="3" t="str">
        <f>"男        "</f>
        <v>男        </v>
      </c>
      <c r="D50" s="3" t="str">
        <f t="shared" si="14"/>
        <v>壮族</v>
      </c>
      <c r="E50" s="3" t="str">
        <f>"1990年12月"</f>
        <v>1990年12月</v>
      </c>
      <c r="F50" s="3" t="str">
        <f>"百色学院材料化学"</f>
        <v>百色学院材料化学</v>
      </c>
      <c r="G50" s="3" t="str">
        <f>"材料化学"</f>
        <v>材料化学</v>
      </c>
      <c r="H50" s="3" t="str">
        <f t="shared" si="16"/>
        <v>本科学士</v>
      </c>
      <c r="I50" s="3" t="str">
        <f>"2015.06.01"</f>
        <v>2015.06.01</v>
      </c>
      <c r="J50" s="3" t="str">
        <f t="shared" si="17"/>
        <v>不是</v>
      </c>
      <c r="K50" s="3" t="str">
        <f>"2:小学"</f>
        <v>2:小学</v>
      </c>
      <c r="L50" s="3" t="str">
        <f>"暂无，待发证"</f>
        <v>暂无，待发证</v>
      </c>
      <c r="M50" s="3" t="str">
        <f>"106091201505001358"</f>
        <v>106091201505001358</v>
      </c>
      <c r="N50" s="3" t="str">
        <f t="shared" si="9"/>
        <v>小学</v>
      </c>
      <c r="O50" s="3" t="str">
        <f t="shared" si="13"/>
        <v>103:数学</v>
      </c>
      <c r="P50" s="3" t="str">
        <f t="shared" si="10"/>
        <v>通过</v>
      </c>
    </row>
    <row r="51" spans="1:16" ht="42.75">
      <c r="A51" s="3" t="str">
        <f>"49"</f>
        <v>49</v>
      </c>
      <c r="B51" s="3" t="str">
        <f>"韦陶陶"</f>
        <v>韦陶陶</v>
      </c>
      <c r="C51" s="3" t="str">
        <f>"女        "</f>
        <v>女        </v>
      </c>
      <c r="D51" s="3" t="str">
        <f t="shared" si="14"/>
        <v>壮族</v>
      </c>
      <c r="E51" s="3" t="str">
        <f>"1993年07月"</f>
        <v>1993年07月</v>
      </c>
      <c r="F51" s="3" t="str">
        <f>"广西大学社会工作"</f>
        <v>广西大学社会工作</v>
      </c>
      <c r="G51" s="3" t="str">
        <f>"社会工作"</f>
        <v>社会工作</v>
      </c>
      <c r="H51" s="3" t="str">
        <f t="shared" si="16"/>
        <v>本科学士</v>
      </c>
      <c r="I51" s="3" t="str">
        <f>"2017.07.01"</f>
        <v>2017.07.01</v>
      </c>
      <c r="J51" s="3" t="str">
        <f t="shared" si="17"/>
        <v>不是</v>
      </c>
      <c r="K51" s="3" t="str">
        <f>"3:初级中学"</f>
        <v>3:初级中学</v>
      </c>
      <c r="L51" s="3" t="str">
        <f aca="true" t="shared" si="18" ref="L51:M53">"2017届毕业生填暂无"</f>
        <v>2017届毕业生填暂无</v>
      </c>
      <c r="M51" s="3" t="str">
        <f t="shared" si="18"/>
        <v>2017届毕业生填暂无</v>
      </c>
      <c r="N51" s="3" t="str">
        <f t="shared" si="9"/>
        <v>小学</v>
      </c>
      <c r="O51" s="3" t="str">
        <f t="shared" si="13"/>
        <v>103:数学</v>
      </c>
      <c r="P51" s="3" t="str">
        <f t="shared" si="10"/>
        <v>通过</v>
      </c>
    </row>
    <row r="52" spans="1:16" ht="42.75">
      <c r="A52" s="3" t="str">
        <f>"50"</f>
        <v>50</v>
      </c>
      <c r="B52" s="3" t="str">
        <f>"蓝粒峰"</f>
        <v>蓝粒峰</v>
      </c>
      <c r="C52" s="3" t="str">
        <f>"男        "</f>
        <v>男        </v>
      </c>
      <c r="D52" s="3" t="str">
        <f t="shared" si="14"/>
        <v>壮族</v>
      </c>
      <c r="E52" s="3" t="str">
        <f>"1993年11月"</f>
        <v>1993年11月</v>
      </c>
      <c r="F52" s="3" t="str">
        <f>"贵州大学化学工程与工艺"</f>
        <v>贵州大学化学工程与工艺</v>
      </c>
      <c r="G52" s="3" t="str">
        <f>"化学工程与工艺"</f>
        <v>化学工程与工艺</v>
      </c>
      <c r="H52" s="3" t="str">
        <f t="shared" si="16"/>
        <v>本科学士</v>
      </c>
      <c r="I52" s="3" t="str">
        <f>"2017.07.01"</f>
        <v>2017.07.01</v>
      </c>
      <c r="J52" s="3" t="str">
        <f t="shared" si="17"/>
        <v>不是</v>
      </c>
      <c r="K52" s="3" t="str">
        <f>"0:暂未取得"</f>
        <v>0:暂未取得</v>
      </c>
      <c r="L52" s="3" t="str">
        <f t="shared" si="18"/>
        <v>2017届毕业生填暂无</v>
      </c>
      <c r="M52" s="3" t="str">
        <f t="shared" si="18"/>
        <v>2017届毕业生填暂无</v>
      </c>
      <c r="N52" s="3" t="str">
        <f t="shared" si="9"/>
        <v>小学</v>
      </c>
      <c r="O52" s="3" t="str">
        <f t="shared" si="13"/>
        <v>103:数学</v>
      </c>
      <c r="P52" s="3" t="str">
        <f t="shared" si="10"/>
        <v>通过</v>
      </c>
    </row>
    <row r="53" spans="1:16" ht="42.75">
      <c r="A53" s="3" t="str">
        <f>"51"</f>
        <v>51</v>
      </c>
      <c r="B53" s="3" t="str">
        <f>"韦正红"</f>
        <v>韦正红</v>
      </c>
      <c r="C53" s="3" t="str">
        <f aca="true" t="shared" si="19" ref="C53:C63">"女        "</f>
        <v>女        </v>
      </c>
      <c r="D53" s="3" t="str">
        <f t="shared" si="14"/>
        <v>壮族</v>
      </c>
      <c r="E53" s="3" t="str">
        <f>"1993年03月"</f>
        <v>1993年03月</v>
      </c>
      <c r="F53" s="3" t="str">
        <f>"玉林师范学院电子信息科学与技术"</f>
        <v>玉林师范学院电子信息科学与技术</v>
      </c>
      <c r="G53" s="3" t="str">
        <f>"电子信息科学与技术"</f>
        <v>电子信息科学与技术</v>
      </c>
      <c r="H53" s="3" t="str">
        <f t="shared" si="16"/>
        <v>本科学士</v>
      </c>
      <c r="I53" s="3" t="str">
        <f>"2017.06.01"</f>
        <v>2017.06.01</v>
      </c>
      <c r="J53" s="3" t="str">
        <f t="shared" si="17"/>
        <v>不是</v>
      </c>
      <c r="K53" s="3" t="str">
        <f>"3:初级中学"</f>
        <v>3:初级中学</v>
      </c>
      <c r="L53" s="3" t="str">
        <f t="shared" si="18"/>
        <v>2017届毕业生填暂无</v>
      </c>
      <c r="M53" s="3" t="str">
        <f t="shared" si="18"/>
        <v>2017届毕业生填暂无</v>
      </c>
      <c r="N53" s="3" t="str">
        <f t="shared" si="9"/>
        <v>小学</v>
      </c>
      <c r="O53" s="3" t="str">
        <f t="shared" si="13"/>
        <v>103:数学</v>
      </c>
      <c r="P53" s="3" t="str">
        <f t="shared" si="10"/>
        <v>通过</v>
      </c>
    </row>
    <row r="54" spans="1:16" ht="42.75">
      <c r="A54" s="3" t="str">
        <f>"52"</f>
        <v>52</v>
      </c>
      <c r="B54" s="3" t="str">
        <f>"罗海泉"</f>
        <v>罗海泉</v>
      </c>
      <c r="C54" s="3" t="str">
        <f t="shared" si="19"/>
        <v>女        </v>
      </c>
      <c r="D54" s="3" t="str">
        <f t="shared" si="14"/>
        <v>壮族</v>
      </c>
      <c r="E54" s="3" t="str">
        <f>"1989年08月"</f>
        <v>1989年08月</v>
      </c>
      <c r="F54" s="3" t="str">
        <f>"广西大学管理科学"</f>
        <v>广西大学管理科学</v>
      </c>
      <c r="G54" s="3" t="str">
        <f>"管理科学"</f>
        <v>管理科学</v>
      </c>
      <c r="H54" s="3" t="str">
        <f t="shared" si="16"/>
        <v>本科学士</v>
      </c>
      <c r="I54" s="3" t="str">
        <f>"2012.07.01"</f>
        <v>2012.07.01</v>
      </c>
      <c r="J54" s="3" t="str">
        <f t="shared" si="17"/>
        <v>不是</v>
      </c>
      <c r="K54" s="3" t="str">
        <f>"3:初级中学"</f>
        <v>3:初级中学</v>
      </c>
      <c r="L54" s="3" t="str">
        <f>"20164520632000085"</f>
        <v>20164520632000085</v>
      </c>
      <c r="M54" s="3" t="str">
        <f>"105931201205084127"</f>
        <v>105931201205084127</v>
      </c>
      <c r="N54" s="3" t="str">
        <f t="shared" si="9"/>
        <v>小学</v>
      </c>
      <c r="O54" s="3" t="str">
        <f t="shared" si="13"/>
        <v>103:数学</v>
      </c>
      <c r="P54" s="3" t="str">
        <f t="shared" si="10"/>
        <v>通过</v>
      </c>
    </row>
    <row r="55" spans="1:16" ht="28.5">
      <c r="A55" s="3" t="str">
        <f>"53"</f>
        <v>53</v>
      </c>
      <c r="B55" s="3" t="str">
        <f>"黄婕婧"</f>
        <v>黄婕婧</v>
      </c>
      <c r="C55" s="3" t="str">
        <f t="shared" si="19"/>
        <v>女        </v>
      </c>
      <c r="D55" s="3" t="str">
        <f t="shared" si="14"/>
        <v>壮族</v>
      </c>
      <c r="E55" s="3" t="str">
        <f>"1995年10月"</f>
        <v>1995年10月</v>
      </c>
      <c r="F55" s="3" t="str">
        <f>"广西财经学院经济统计学"</f>
        <v>广西财经学院经济统计学</v>
      </c>
      <c r="G55" s="3" t="str">
        <f>"经济统计学"</f>
        <v>经济统计学</v>
      </c>
      <c r="H55" s="3" t="str">
        <f t="shared" si="16"/>
        <v>本科学士</v>
      </c>
      <c r="I55" s="3" t="str">
        <f>"2017.07.01"</f>
        <v>2017.07.01</v>
      </c>
      <c r="J55" s="3" t="str">
        <f t="shared" si="17"/>
        <v>不是</v>
      </c>
      <c r="K55" s="3" t="str">
        <f>"0:暂未取得"</f>
        <v>0:暂未取得</v>
      </c>
      <c r="L55" s="3" t="str">
        <f>"无"</f>
        <v>无</v>
      </c>
      <c r="M55" s="3" t="str">
        <f>"无"</f>
        <v>无</v>
      </c>
      <c r="N55" s="3" t="str">
        <f t="shared" si="9"/>
        <v>小学</v>
      </c>
      <c r="O55" s="3" t="str">
        <f t="shared" si="13"/>
        <v>103:数学</v>
      </c>
      <c r="P55" s="3" t="str">
        <f t="shared" si="10"/>
        <v>通过</v>
      </c>
    </row>
    <row r="56" spans="1:16" ht="28.5">
      <c r="A56" s="3" t="str">
        <f>"54"</f>
        <v>54</v>
      </c>
      <c r="B56" s="3" t="str">
        <f>"莫建荣"</f>
        <v>莫建荣</v>
      </c>
      <c r="C56" s="3" t="str">
        <f t="shared" si="19"/>
        <v>女        </v>
      </c>
      <c r="D56" s="3" t="str">
        <f t="shared" si="14"/>
        <v>壮族</v>
      </c>
      <c r="E56" s="3" t="str">
        <f>"1994年01月"</f>
        <v>1994年01月</v>
      </c>
      <c r="F56" s="3" t="str">
        <f>"玉林师范学院广告学"</f>
        <v>玉林师范学院广告学</v>
      </c>
      <c r="G56" s="3" t="str">
        <f>"广告学"</f>
        <v>广告学</v>
      </c>
      <c r="H56" s="3" t="str">
        <f t="shared" si="16"/>
        <v>本科学士</v>
      </c>
      <c r="I56" s="3" t="str">
        <f>"2017.06.01"</f>
        <v>2017.06.01</v>
      </c>
      <c r="J56" s="3" t="str">
        <f t="shared" si="17"/>
        <v>不是</v>
      </c>
      <c r="K56" s="3" t="str">
        <f>"2:小学"</f>
        <v>2:小学</v>
      </c>
      <c r="L56" s="3" t="str">
        <f>"暂无"</f>
        <v>暂无</v>
      </c>
      <c r="M56" s="3" t="str">
        <f>"暂无"</f>
        <v>暂无</v>
      </c>
      <c r="N56" s="3" t="str">
        <f t="shared" si="9"/>
        <v>小学</v>
      </c>
      <c r="O56" s="3" t="str">
        <f t="shared" si="13"/>
        <v>103:数学</v>
      </c>
      <c r="P56" s="3" t="str">
        <f t="shared" si="10"/>
        <v>通过</v>
      </c>
    </row>
    <row r="57" spans="1:16" ht="42.75">
      <c r="A57" s="3" t="str">
        <f>"55"</f>
        <v>55</v>
      </c>
      <c r="B57" s="3" t="str">
        <f>"韦丽姿"</f>
        <v>韦丽姿</v>
      </c>
      <c r="C57" s="3" t="str">
        <f t="shared" si="19"/>
        <v>女        </v>
      </c>
      <c r="D57" s="3" t="str">
        <f t="shared" si="14"/>
        <v>壮族</v>
      </c>
      <c r="E57" s="3" t="str">
        <f>"1995年01月"</f>
        <v>1995年01月</v>
      </c>
      <c r="F57" s="3" t="str">
        <f>"百色学院学前教育专业"</f>
        <v>百色学院学前教育专业</v>
      </c>
      <c r="G57" s="3" t="str">
        <f>"学前教育专业"</f>
        <v>学前教育专业</v>
      </c>
      <c r="H57" s="3" t="str">
        <f>"专科无学位"</f>
        <v>专科无学位</v>
      </c>
      <c r="I57" s="3" t="str">
        <f>"2016.06.01"</f>
        <v>2016.06.01</v>
      </c>
      <c r="J57" s="3" t="str">
        <f>"是"</f>
        <v>是</v>
      </c>
      <c r="K57" s="3" t="str">
        <f>"2:小学"</f>
        <v>2:小学</v>
      </c>
      <c r="L57" s="3" t="str">
        <f>"正在认定"</f>
        <v>正在认定</v>
      </c>
      <c r="M57" s="3" t="str">
        <f>"106091201606000102"</f>
        <v>106091201606000102</v>
      </c>
      <c r="N57" s="3" t="str">
        <f t="shared" si="9"/>
        <v>小学</v>
      </c>
      <c r="O57" s="3" t="str">
        <f t="shared" si="13"/>
        <v>103:数学</v>
      </c>
      <c r="P57" s="3" t="str">
        <f t="shared" si="10"/>
        <v>通过</v>
      </c>
    </row>
    <row r="58" spans="1:16" ht="28.5">
      <c r="A58" s="3" t="str">
        <f>"56"</f>
        <v>56</v>
      </c>
      <c r="B58" s="3" t="str">
        <f>"石岳雁"</f>
        <v>石岳雁</v>
      </c>
      <c r="C58" s="3" t="str">
        <f t="shared" si="19"/>
        <v>女        </v>
      </c>
      <c r="D58" s="3" t="str">
        <f t="shared" si="14"/>
        <v>壮族</v>
      </c>
      <c r="E58" s="3" t="str">
        <f>"1996年06月"</f>
        <v>1996年06月</v>
      </c>
      <c r="F58" s="3" t="str">
        <f>"广西民族师范学院数学与应用数学"</f>
        <v>广西民族师范学院数学与应用数学</v>
      </c>
      <c r="G58" s="3" t="str">
        <f>"数学与应用数学"</f>
        <v>数学与应用数学</v>
      </c>
      <c r="H58" s="3" t="str">
        <f aca="true" t="shared" si="20" ref="H58:H65">"本科学士"</f>
        <v>本科学士</v>
      </c>
      <c r="I58" s="3" t="str">
        <f>"2017.07.01"</f>
        <v>2017.07.01</v>
      </c>
      <c r="J58" s="3" t="str">
        <f>"是"</f>
        <v>是</v>
      </c>
      <c r="K58" s="3" t="str">
        <f>"4:高级中学"</f>
        <v>4:高级中学</v>
      </c>
      <c r="L58" s="3" t="str">
        <f>"无"</f>
        <v>无</v>
      </c>
      <c r="M58" s="3" t="str">
        <f>"无"</f>
        <v>无</v>
      </c>
      <c r="N58" s="3" t="str">
        <f t="shared" si="9"/>
        <v>小学</v>
      </c>
      <c r="O58" s="3" t="str">
        <f t="shared" si="13"/>
        <v>103:数学</v>
      </c>
      <c r="P58" s="3" t="str">
        <f t="shared" si="10"/>
        <v>通过</v>
      </c>
    </row>
    <row r="59" spans="1:16" ht="28.5">
      <c r="A59" s="3" t="str">
        <f>"57"</f>
        <v>57</v>
      </c>
      <c r="B59" s="3" t="str">
        <f>"莫雅萍"</f>
        <v>莫雅萍</v>
      </c>
      <c r="C59" s="3" t="str">
        <f t="shared" si="19"/>
        <v>女        </v>
      </c>
      <c r="D59" s="3" t="str">
        <f t="shared" si="14"/>
        <v>壮族</v>
      </c>
      <c r="E59" s="3" t="str">
        <f>"1994年08月"</f>
        <v>1994年08月</v>
      </c>
      <c r="F59" s="3" t="str">
        <f>"广西师范大学会计学"</f>
        <v>广西师范大学会计学</v>
      </c>
      <c r="G59" s="3" t="str">
        <f>"会计学"</f>
        <v>会计学</v>
      </c>
      <c r="H59" s="3" t="str">
        <f t="shared" si="20"/>
        <v>本科学士</v>
      </c>
      <c r="I59" s="3" t="str">
        <f>"2017.07.01"</f>
        <v>2017.07.01</v>
      </c>
      <c r="J59" s="3" t="str">
        <f>"是"</f>
        <v>是</v>
      </c>
      <c r="K59" s="3" t="str">
        <f>"0:暂未取得"</f>
        <v>0:暂未取得</v>
      </c>
      <c r="L59" s="3" t="str">
        <f>"暂无"</f>
        <v>暂无</v>
      </c>
      <c r="M59" s="3" t="str">
        <f>"暂无"</f>
        <v>暂无</v>
      </c>
      <c r="N59" s="3" t="str">
        <f t="shared" si="9"/>
        <v>小学</v>
      </c>
      <c r="O59" s="3" t="str">
        <f t="shared" si="13"/>
        <v>103:数学</v>
      </c>
      <c r="P59" s="3" t="str">
        <f t="shared" si="10"/>
        <v>通过</v>
      </c>
    </row>
    <row r="60" spans="1:16" ht="28.5">
      <c r="A60" s="3" t="str">
        <f>"58"</f>
        <v>58</v>
      </c>
      <c r="B60" s="3" t="str">
        <f>"钟欣"</f>
        <v>钟欣</v>
      </c>
      <c r="C60" s="3" t="str">
        <f t="shared" si="19"/>
        <v>女        </v>
      </c>
      <c r="D60" s="3" t="str">
        <f>"汉族"</f>
        <v>汉族</v>
      </c>
      <c r="E60" s="3" t="str">
        <f>"1994年11月"</f>
        <v>1994年11月</v>
      </c>
      <c r="F60" s="3" t="str">
        <f>"广西师范学院小学教育"</f>
        <v>广西师范学院小学教育</v>
      </c>
      <c r="G60" s="3" t="str">
        <f>"小学教育"</f>
        <v>小学教育</v>
      </c>
      <c r="H60" s="3" t="str">
        <f t="shared" si="20"/>
        <v>本科学士</v>
      </c>
      <c r="I60" s="3" t="str">
        <f>"2017.06.01"</f>
        <v>2017.06.01</v>
      </c>
      <c r="J60" s="3" t="str">
        <f>"是"</f>
        <v>是</v>
      </c>
      <c r="K60" s="3" t="str">
        <f>"2:小学"</f>
        <v>2:小学</v>
      </c>
      <c r="L60" s="3" t="str">
        <f>"无"</f>
        <v>无</v>
      </c>
      <c r="M60" s="3" t="str">
        <f>"无"</f>
        <v>无</v>
      </c>
      <c r="N60" s="3" t="str">
        <f t="shared" si="9"/>
        <v>小学</v>
      </c>
      <c r="O60" s="3" t="str">
        <f t="shared" si="13"/>
        <v>103:数学</v>
      </c>
      <c r="P60" s="3" t="str">
        <f t="shared" si="10"/>
        <v>通过</v>
      </c>
    </row>
    <row r="61" spans="1:16" ht="42.75">
      <c r="A61" s="3" t="str">
        <f>"59"</f>
        <v>59</v>
      </c>
      <c r="B61" s="3" t="str">
        <f>"韦樊妮"</f>
        <v>韦樊妮</v>
      </c>
      <c r="C61" s="3" t="str">
        <f t="shared" si="19"/>
        <v>女        </v>
      </c>
      <c r="D61" s="3" t="str">
        <f>"瑶族"</f>
        <v>瑶族</v>
      </c>
      <c r="E61" s="3" t="str">
        <f>"1994年03月"</f>
        <v>1994年03月</v>
      </c>
      <c r="F61" s="3" t="str">
        <f>"广西师范学院师园学院小学教育"</f>
        <v>广西师范学院师园学院小学教育</v>
      </c>
      <c r="G61" s="3" t="str">
        <f>"小学教育"</f>
        <v>小学教育</v>
      </c>
      <c r="H61" s="3" t="str">
        <f t="shared" si="20"/>
        <v>本科学士</v>
      </c>
      <c r="I61" s="3" t="str">
        <f>"2017.07.01"</f>
        <v>2017.07.01</v>
      </c>
      <c r="J61" s="3" t="str">
        <f>"是"</f>
        <v>是</v>
      </c>
      <c r="K61" s="3" t="str">
        <f>"2:小学"</f>
        <v>2:小学</v>
      </c>
      <c r="L61" s="3" t="str">
        <f>"2017届毕业生填暂无"</f>
        <v>2017届毕业生填暂无</v>
      </c>
      <c r="M61" s="3" t="str">
        <f>"2017届毕业生填暂无"</f>
        <v>2017届毕业生填暂无</v>
      </c>
      <c r="N61" s="3" t="str">
        <f t="shared" si="9"/>
        <v>小学</v>
      </c>
      <c r="O61" s="3" t="str">
        <f t="shared" si="13"/>
        <v>103:数学</v>
      </c>
      <c r="P61" s="3" t="str">
        <f t="shared" si="10"/>
        <v>通过</v>
      </c>
    </row>
    <row r="62" spans="1:16" ht="42.75">
      <c r="A62" s="3" t="str">
        <f>"60"</f>
        <v>60</v>
      </c>
      <c r="B62" s="3" t="str">
        <f>"蓝海莉"</f>
        <v>蓝海莉</v>
      </c>
      <c r="C62" s="3" t="str">
        <f t="shared" si="19"/>
        <v>女        </v>
      </c>
      <c r="D62" s="3" t="str">
        <f>"壮族"</f>
        <v>壮族</v>
      </c>
      <c r="E62" s="3" t="str">
        <f>"1995年12月"</f>
        <v>1995年12月</v>
      </c>
      <c r="F62" s="3" t="str">
        <f>"百色学院通信工程"</f>
        <v>百色学院通信工程</v>
      </c>
      <c r="G62" s="3" t="str">
        <f>"通信工程"</f>
        <v>通信工程</v>
      </c>
      <c r="H62" s="3" t="str">
        <f t="shared" si="20"/>
        <v>本科学士</v>
      </c>
      <c r="I62" s="3" t="str">
        <f>"2017.06.01"</f>
        <v>2017.06.01</v>
      </c>
      <c r="J62" s="3" t="str">
        <f>"不是"</f>
        <v>不是</v>
      </c>
      <c r="K62" s="3" t="str">
        <f>"0:暂未取得"</f>
        <v>0:暂未取得</v>
      </c>
      <c r="L62" s="3" t="str">
        <f>"暂无"</f>
        <v>暂无</v>
      </c>
      <c r="M62" s="3" t="str">
        <f>"2017届毕业生填暂无"</f>
        <v>2017届毕业生填暂无</v>
      </c>
      <c r="N62" s="3" t="str">
        <f t="shared" si="9"/>
        <v>小学</v>
      </c>
      <c r="O62" s="3" t="str">
        <f t="shared" si="13"/>
        <v>103:数学</v>
      </c>
      <c r="P62" s="3" t="str">
        <f t="shared" si="10"/>
        <v>通过</v>
      </c>
    </row>
    <row r="63" spans="1:16" ht="42.75">
      <c r="A63" s="3" t="str">
        <f>"61"</f>
        <v>61</v>
      </c>
      <c r="B63" s="3" t="str">
        <f>"黄华艳"</f>
        <v>黄华艳</v>
      </c>
      <c r="C63" s="3" t="str">
        <f t="shared" si="19"/>
        <v>女        </v>
      </c>
      <c r="D63" s="3" t="str">
        <f>"汉族"</f>
        <v>汉族</v>
      </c>
      <c r="E63" s="3" t="str">
        <f>"1994年12月"</f>
        <v>1994年12月</v>
      </c>
      <c r="F63" s="3" t="str">
        <f>"百色学院工程管理"</f>
        <v>百色学院工程管理</v>
      </c>
      <c r="G63" s="3" t="str">
        <f>"工程管理"</f>
        <v>工程管理</v>
      </c>
      <c r="H63" s="3" t="str">
        <f t="shared" si="20"/>
        <v>本科学士</v>
      </c>
      <c r="I63" s="3" t="str">
        <f>"2017.06.01"</f>
        <v>2017.06.01</v>
      </c>
      <c r="J63" s="3" t="str">
        <f>"不是"</f>
        <v>不是</v>
      </c>
      <c r="K63" s="3" t="str">
        <f>"2:小学"</f>
        <v>2:小学</v>
      </c>
      <c r="L63" s="3" t="str">
        <f>"2017届毕业生填暂无"</f>
        <v>2017届毕业生填暂无</v>
      </c>
      <c r="M63" s="3" t="str">
        <f>"106091201705000467"</f>
        <v>106091201705000467</v>
      </c>
      <c r="N63" s="3" t="str">
        <f t="shared" si="9"/>
        <v>小学</v>
      </c>
      <c r="O63" s="3" t="str">
        <f t="shared" si="13"/>
        <v>103:数学</v>
      </c>
      <c r="P63" s="3" t="str">
        <f t="shared" si="10"/>
        <v>通过</v>
      </c>
    </row>
    <row r="64" spans="1:16" ht="42.75">
      <c r="A64" s="3" t="str">
        <f>"62"</f>
        <v>62</v>
      </c>
      <c r="B64" s="3" t="str">
        <f>"罗文龙"</f>
        <v>罗文龙</v>
      </c>
      <c r="C64" s="3" t="str">
        <f>"男        "</f>
        <v>男        </v>
      </c>
      <c r="D64" s="3" t="str">
        <f aca="true" t="shared" si="21" ref="D64:D71">"壮族"</f>
        <v>壮族</v>
      </c>
      <c r="E64" s="3" t="str">
        <f>"1988年11月"</f>
        <v>1988年11月</v>
      </c>
      <c r="F64" s="3" t="str">
        <f>"华北电力大学英语"</f>
        <v>华北电力大学英语</v>
      </c>
      <c r="G64" s="3" t="str">
        <f>"英语"</f>
        <v>英语</v>
      </c>
      <c r="H64" s="3" t="str">
        <f t="shared" si="20"/>
        <v>本科学士</v>
      </c>
      <c r="I64" s="3" t="str">
        <f>"2013.07.01"</f>
        <v>2013.07.01</v>
      </c>
      <c r="J64" s="3" t="str">
        <f>"不是"</f>
        <v>不是</v>
      </c>
      <c r="K64" s="3" t="str">
        <f>"2:小学"</f>
        <v>2:小学</v>
      </c>
      <c r="L64" s="3" t="str">
        <f>"20164520621000018"</f>
        <v>20164520621000018</v>
      </c>
      <c r="M64" s="3" t="str">
        <f>"100541201305000099"</f>
        <v>100541201305000099</v>
      </c>
      <c r="N64" s="3" t="str">
        <f t="shared" si="9"/>
        <v>小学</v>
      </c>
      <c r="O64" s="3" t="str">
        <f>"104:英语"</f>
        <v>104:英语</v>
      </c>
      <c r="P64" s="3" t="str">
        <f t="shared" si="10"/>
        <v>通过</v>
      </c>
    </row>
    <row r="65" spans="1:16" ht="42.75">
      <c r="A65" s="3" t="str">
        <f>"63"</f>
        <v>63</v>
      </c>
      <c r="B65" s="3" t="str">
        <f>"傅李静"</f>
        <v>傅李静</v>
      </c>
      <c r="C65" s="3" t="str">
        <f>"女        "</f>
        <v>女        </v>
      </c>
      <c r="D65" s="3" t="str">
        <f t="shared" si="21"/>
        <v>壮族</v>
      </c>
      <c r="E65" s="3" t="str">
        <f>"1993年11月"</f>
        <v>1993年11月</v>
      </c>
      <c r="F65" s="3" t="str">
        <f>"广西师范学院师园学院英语"</f>
        <v>广西师范学院师园学院英语</v>
      </c>
      <c r="G65" s="3" t="str">
        <f>"英语"</f>
        <v>英语</v>
      </c>
      <c r="H65" s="3" t="str">
        <f t="shared" si="20"/>
        <v>本科学士</v>
      </c>
      <c r="I65" s="3" t="str">
        <f>"2017.06.01"</f>
        <v>2017.06.01</v>
      </c>
      <c r="J65" s="3" t="str">
        <f>"是"</f>
        <v>是</v>
      </c>
      <c r="K65" s="3" t="str">
        <f>"4:高级中学"</f>
        <v>4:高级中学</v>
      </c>
      <c r="L65" s="3" t="str">
        <f>"2017届毕业生填暂无"</f>
        <v>2017届毕业生填暂无</v>
      </c>
      <c r="M65" s="3" t="str">
        <f>"2017届毕业生填暂无"</f>
        <v>2017届毕业生填暂无</v>
      </c>
      <c r="N65" s="3" t="str">
        <f t="shared" si="9"/>
        <v>小学</v>
      </c>
      <c r="O65" s="3" t="str">
        <f>"104:英语"</f>
        <v>104:英语</v>
      </c>
      <c r="P65" s="3" t="str">
        <f t="shared" si="10"/>
        <v>通过</v>
      </c>
    </row>
    <row r="66" spans="1:16" ht="42.75">
      <c r="A66" s="3" t="str">
        <f>"64"</f>
        <v>64</v>
      </c>
      <c r="B66" s="3" t="str">
        <f>"黎秀芳"</f>
        <v>黎秀芳</v>
      </c>
      <c r="C66" s="3" t="str">
        <f>"女        "</f>
        <v>女        </v>
      </c>
      <c r="D66" s="3" t="str">
        <f t="shared" si="21"/>
        <v>壮族</v>
      </c>
      <c r="E66" s="3" t="str">
        <f>"1989年02月"</f>
        <v>1989年02月</v>
      </c>
      <c r="F66" s="3" t="str">
        <f>"钦州学院初等教育英语方向"</f>
        <v>钦州学院初等教育英语方向</v>
      </c>
      <c r="G66" s="3" t="str">
        <f>"初等教育英语方向"</f>
        <v>初等教育英语方向</v>
      </c>
      <c r="H66" s="3" t="str">
        <f>"专科无学位"</f>
        <v>专科无学位</v>
      </c>
      <c r="I66" s="3" t="str">
        <f>"2012.07.01"</f>
        <v>2012.07.01</v>
      </c>
      <c r="J66" s="3" t="str">
        <f>"是"</f>
        <v>是</v>
      </c>
      <c r="K66" s="3" t="str">
        <f>"2:小学"</f>
        <v>2:小学</v>
      </c>
      <c r="L66" s="3" t="str">
        <f>"20124570122000238"</f>
        <v>20124570122000238</v>
      </c>
      <c r="M66" s="3" t="str">
        <f>"116071201206000227"</f>
        <v>116071201206000227</v>
      </c>
      <c r="N66" s="3" t="str">
        <f t="shared" si="9"/>
        <v>小学</v>
      </c>
      <c r="O66" s="3" t="str">
        <f>"104:英语"</f>
        <v>104:英语</v>
      </c>
      <c r="P66" s="3" t="str">
        <f t="shared" si="10"/>
        <v>通过</v>
      </c>
    </row>
    <row r="67" spans="1:16" ht="28.5">
      <c r="A67" s="3" t="str">
        <f>"65"</f>
        <v>65</v>
      </c>
      <c r="B67" s="3" t="str">
        <f>"莫园园"</f>
        <v>莫园园</v>
      </c>
      <c r="C67" s="3" t="str">
        <f>"女        "</f>
        <v>女        </v>
      </c>
      <c r="D67" s="3" t="str">
        <f t="shared" si="21"/>
        <v>壮族</v>
      </c>
      <c r="E67" s="3" t="str">
        <f>"1994年01月"</f>
        <v>1994年01月</v>
      </c>
      <c r="F67" s="3" t="str">
        <f>"河池学院应用英语"</f>
        <v>河池学院应用英语</v>
      </c>
      <c r="G67" s="3" t="str">
        <f>"应用英语"</f>
        <v>应用英语</v>
      </c>
      <c r="H67" s="3" t="str">
        <f>"本科学士"</f>
        <v>本科学士</v>
      </c>
      <c r="I67" s="3" t="str">
        <f>"2017.07.01"</f>
        <v>2017.07.01</v>
      </c>
      <c r="J67" s="3" t="str">
        <f>"不是"</f>
        <v>不是</v>
      </c>
      <c r="K67" s="3" t="str">
        <f>"3:初级中学"</f>
        <v>3:初级中学</v>
      </c>
      <c r="L67" s="3" t="str">
        <f>"2016453017041"</f>
        <v>2016453017041</v>
      </c>
      <c r="M67" s="3" t="str">
        <f>"暂无"</f>
        <v>暂无</v>
      </c>
      <c r="N67" s="3" t="str">
        <f aca="true" t="shared" si="22" ref="N67:N99">"小学"</f>
        <v>小学</v>
      </c>
      <c r="O67" s="3" t="str">
        <f>"104:英语"</f>
        <v>104:英语</v>
      </c>
      <c r="P67" s="3" t="str">
        <f aca="true" t="shared" si="23" ref="P67:P98">"通过"</f>
        <v>通过</v>
      </c>
    </row>
    <row r="68" spans="1:16" ht="42.75">
      <c r="A68" s="3" t="str">
        <f>"66"</f>
        <v>66</v>
      </c>
      <c r="B68" s="3" t="str">
        <f>"黄雪娇"</f>
        <v>黄雪娇</v>
      </c>
      <c r="C68" s="3" t="str">
        <f>"女        "</f>
        <v>女        </v>
      </c>
      <c r="D68" s="3" t="str">
        <f t="shared" si="21"/>
        <v>壮族</v>
      </c>
      <c r="E68" s="3" t="str">
        <f>"1996年03月"</f>
        <v>1996年03月</v>
      </c>
      <c r="F68" s="3" t="str">
        <f>"广西师范学院壮汉双语"</f>
        <v>广西师范学院壮汉双语</v>
      </c>
      <c r="G68" s="3" t="str">
        <f>"壮汉双语"</f>
        <v>壮汉双语</v>
      </c>
      <c r="H68" s="3" t="str">
        <f>"专科无学位"</f>
        <v>专科无学位</v>
      </c>
      <c r="I68" s="3" t="str">
        <f>"2016.06.01"</f>
        <v>2016.06.01</v>
      </c>
      <c r="J68" s="3" t="str">
        <f>"是"</f>
        <v>是</v>
      </c>
      <c r="K68" s="3" t="str">
        <f>"2:小学"</f>
        <v>2:小学</v>
      </c>
      <c r="L68" s="3" t="str">
        <f>"2016452020067"</f>
        <v>2016452020067</v>
      </c>
      <c r="M68" s="3" t="str">
        <f>"106031201606000029"</f>
        <v>106031201606000029</v>
      </c>
      <c r="N68" s="3" t="str">
        <f t="shared" si="22"/>
        <v>小学</v>
      </c>
      <c r="O68" s="3" t="str">
        <f aca="true" t="shared" si="24" ref="O68:O76">"106:体育"</f>
        <v>106:体育</v>
      </c>
      <c r="P68" s="3" t="str">
        <f t="shared" si="23"/>
        <v>通过</v>
      </c>
    </row>
    <row r="69" spans="1:16" ht="42.75">
      <c r="A69" s="3" t="str">
        <f>"67"</f>
        <v>67</v>
      </c>
      <c r="B69" s="3" t="str">
        <f>"韦琦君"</f>
        <v>韦琦君</v>
      </c>
      <c r="C69" s="3" t="str">
        <f>"男        "</f>
        <v>男        </v>
      </c>
      <c r="D69" s="3" t="str">
        <f t="shared" si="21"/>
        <v>壮族</v>
      </c>
      <c r="E69" s="3" t="str">
        <f>"1995年08月"</f>
        <v>1995年08月</v>
      </c>
      <c r="F69" s="3" t="str">
        <f>"广西科技师范学院体育教育"</f>
        <v>广西科技师范学院体育教育</v>
      </c>
      <c r="G69" s="3" t="str">
        <f>"体育教育"</f>
        <v>体育教育</v>
      </c>
      <c r="H69" s="3" t="str">
        <f>"专科无学位"</f>
        <v>专科无学位</v>
      </c>
      <c r="I69" s="3" t="str">
        <f>"2017.06.01"</f>
        <v>2017.06.01</v>
      </c>
      <c r="J69" s="3" t="str">
        <f>"是"</f>
        <v>是</v>
      </c>
      <c r="K69" s="3" t="str">
        <f>"2:小学"</f>
        <v>2:小学</v>
      </c>
      <c r="L69" s="3" t="str">
        <f>"2017届毕业生填暂无"</f>
        <v>2017届毕业生填暂无</v>
      </c>
      <c r="M69" s="3" t="str">
        <f>"2017届毕业生填暂无"</f>
        <v>2017届毕业生填暂无</v>
      </c>
      <c r="N69" s="3" t="str">
        <f t="shared" si="22"/>
        <v>小学</v>
      </c>
      <c r="O69" s="3" t="str">
        <f t="shared" si="24"/>
        <v>106:体育</v>
      </c>
      <c r="P69" s="3" t="str">
        <f t="shared" si="23"/>
        <v>通过</v>
      </c>
    </row>
    <row r="70" spans="1:16" ht="28.5">
      <c r="A70" s="3" t="str">
        <f>"68"</f>
        <v>68</v>
      </c>
      <c r="B70" s="3" t="str">
        <f>"蓝路遥"</f>
        <v>蓝路遥</v>
      </c>
      <c r="C70" s="3" t="str">
        <f>"男        "</f>
        <v>男        </v>
      </c>
      <c r="D70" s="3" t="str">
        <f t="shared" si="21"/>
        <v>壮族</v>
      </c>
      <c r="E70" s="3" t="str">
        <f>"1991年05月"</f>
        <v>1991年05月</v>
      </c>
      <c r="F70" s="3" t="str">
        <f>"西北民族大学体育教育"</f>
        <v>西北民族大学体育教育</v>
      </c>
      <c r="G70" s="3" t="str">
        <f>"体育教育"</f>
        <v>体育教育</v>
      </c>
      <c r="H70" s="3" t="str">
        <f>"本科学士"</f>
        <v>本科学士</v>
      </c>
      <c r="I70" s="3" t="str">
        <f>"2017.07.01"</f>
        <v>2017.07.01</v>
      </c>
      <c r="J70" s="3" t="str">
        <f>"是"</f>
        <v>是</v>
      </c>
      <c r="K70" s="3" t="str">
        <f>"4:高级中学"</f>
        <v>4:高级中学</v>
      </c>
      <c r="L70" s="3" t="str">
        <f>"暂无"</f>
        <v>暂无</v>
      </c>
      <c r="M70" s="3" t="str">
        <f>"暂无"</f>
        <v>暂无</v>
      </c>
      <c r="N70" s="3" t="str">
        <f t="shared" si="22"/>
        <v>小学</v>
      </c>
      <c r="O70" s="3" t="str">
        <f t="shared" si="24"/>
        <v>106:体育</v>
      </c>
      <c r="P70" s="3" t="str">
        <f t="shared" si="23"/>
        <v>通过</v>
      </c>
    </row>
    <row r="71" spans="1:16" ht="42.75">
      <c r="A71" s="3" t="str">
        <f>"69"</f>
        <v>69</v>
      </c>
      <c r="B71" s="3" t="str">
        <f>"何志阳"</f>
        <v>何志阳</v>
      </c>
      <c r="C71" s="3" t="str">
        <f>"男        "</f>
        <v>男        </v>
      </c>
      <c r="D71" s="3" t="str">
        <f t="shared" si="21"/>
        <v>壮族</v>
      </c>
      <c r="E71" s="3" t="str">
        <f>"1994年01月"</f>
        <v>1994年01月</v>
      </c>
      <c r="F71" s="3" t="str">
        <f>"玉林师范学院社会体育指导与管理"</f>
        <v>玉林师范学院社会体育指导与管理</v>
      </c>
      <c r="G71" s="3" t="str">
        <f>"社会体育指导与管理"</f>
        <v>社会体育指导与管理</v>
      </c>
      <c r="H71" s="3" t="str">
        <f>"本科学士"</f>
        <v>本科学士</v>
      </c>
      <c r="I71" s="3" t="str">
        <f>"2017.06.01"</f>
        <v>2017.06.01</v>
      </c>
      <c r="J71" s="3" t="str">
        <f>"不是"</f>
        <v>不是</v>
      </c>
      <c r="K71" s="3" t="str">
        <f>"0:暂未取得"</f>
        <v>0:暂未取得</v>
      </c>
      <c r="L71" s="3" t="str">
        <f>"2017届毕业生填暂无"</f>
        <v>2017届毕业生填暂无</v>
      </c>
      <c r="M71" s="3" t="str">
        <f>"2017届毕业生填暂无"</f>
        <v>2017届毕业生填暂无</v>
      </c>
      <c r="N71" s="3" t="str">
        <f t="shared" si="22"/>
        <v>小学</v>
      </c>
      <c r="O71" s="3" t="str">
        <f t="shared" si="24"/>
        <v>106:体育</v>
      </c>
      <c r="P71" s="3" t="str">
        <f t="shared" si="23"/>
        <v>通过</v>
      </c>
    </row>
    <row r="72" spans="1:16" ht="42.75">
      <c r="A72" s="3" t="str">
        <f>"70"</f>
        <v>70</v>
      </c>
      <c r="B72" s="3" t="str">
        <f>"禤铟婷"</f>
        <v>禤铟婷</v>
      </c>
      <c r="C72" s="3" t="str">
        <f>"女        "</f>
        <v>女        </v>
      </c>
      <c r="D72" s="3" t="str">
        <f>"汉族"</f>
        <v>汉族</v>
      </c>
      <c r="E72" s="3" t="str">
        <f>"1993年06月"</f>
        <v>1993年06月</v>
      </c>
      <c r="F72" s="3" t="str">
        <f>"广西体育高等专科学校体育教育"</f>
        <v>广西体育高等专科学校体育教育</v>
      </c>
      <c r="G72" s="3" t="str">
        <f>"体育教育"</f>
        <v>体育教育</v>
      </c>
      <c r="H72" s="3" t="str">
        <f>"专科无学位"</f>
        <v>专科无学位</v>
      </c>
      <c r="I72" s="3" t="str">
        <f>"2014.06.01"</f>
        <v>2014.06.01</v>
      </c>
      <c r="J72" s="3" t="str">
        <f aca="true" t="shared" si="25" ref="J72:J82">"是"</f>
        <v>是</v>
      </c>
      <c r="K72" s="3" t="str">
        <f>"3:初级中学"</f>
        <v>3:初级中学</v>
      </c>
      <c r="L72" s="3" t="str">
        <f>"20144501132000102"</f>
        <v>20144501132000102</v>
      </c>
      <c r="M72" s="3" t="str">
        <f>"113501201406000166"</f>
        <v>113501201406000166</v>
      </c>
      <c r="N72" s="3" t="str">
        <f t="shared" si="22"/>
        <v>小学</v>
      </c>
      <c r="O72" s="3" t="str">
        <f t="shared" si="24"/>
        <v>106:体育</v>
      </c>
      <c r="P72" s="3" t="str">
        <f t="shared" si="23"/>
        <v>通过</v>
      </c>
    </row>
    <row r="73" spans="1:16" ht="28.5">
      <c r="A73" s="3" t="str">
        <f>"71"</f>
        <v>71</v>
      </c>
      <c r="B73" s="3" t="str">
        <f>"蓝升"</f>
        <v>蓝升</v>
      </c>
      <c r="C73" s="3" t="str">
        <f>"男        "</f>
        <v>男        </v>
      </c>
      <c r="D73" s="3" t="str">
        <f>"壮族"</f>
        <v>壮族</v>
      </c>
      <c r="E73" s="3" t="str">
        <f>"1994年05月"</f>
        <v>1994年05月</v>
      </c>
      <c r="F73" s="3" t="str">
        <f>"河池学院体育教育"</f>
        <v>河池学院体育教育</v>
      </c>
      <c r="G73" s="3" t="str">
        <f>"体育教育"</f>
        <v>体育教育</v>
      </c>
      <c r="H73" s="3" t="str">
        <f>"本科学士"</f>
        <v>本科学士</v>
      </c>
      <c r="I73" s="3" t="str">
        <f>"2017.07.01"</f>
        <v>2017.07.01</v>
      </c>
      <c r="J73" s="3" t="str">
        <f t="shared" si="25"/>
        <v>是</v>
      </c>
      <c r="K73" s="3" t="str">
        <f>"4:高级中学"</f>
        <v>4:高级中学</v>
      </c>
      <c r="L73" s="3" t="str">
        <f>"无"</f>
        <v>无</v>
      </c>
      <c r="M73" s="3" t="str">
        <f>"无"</f>
        <v>无</v>
      </c>
      <c r="N73" s="3" t="str">
        <f t="shared" si="22"/>
        <v>小学</v>
      </c>
      <c r="O73" s="3" t="str">
        <f t="shared" si="24"/>
        <v>106:体育</v>
      </c>
      <c r="P73" s="3" t="str">
        <f t="shared" si="23"/>
        <v>通过</v>
      </c>
    </row>
    <row r="74" spans="1:16" ht="42.75">
      <c r="A74" s="3" t="str">
        <f>"72"</f>
        <v>72</v>
      </c>
      <c r="B74" s="3" t="str">
        <f>"黄晓文"</f>
        <v>黄晓文</v>
      </c>
      <c r="C74" s="3" t="str">
        <f>"男        "</f>
        <v>男        </v>
      </c>
      <c r="D74" s="3" t="str">
        <f>"壮族"</f>
        <v>壮族</v>
      </c>
      <c r="E74" s="3" t="str">
        <f>"1994年06月"</f>
        <v>1994年06月</v>
      </c>
      <c r="F74" s="3" t="str">
        <f>"河池学院体育教育"</f>
        <v>河池学院体育教育</v>
      </c>
      <c r="G74" s="3" t="str">
        <f>"体育教育"</f>
        <v>体育教育</v>
      </c>
      <c r="H74" s="3" t="str">
        <f>"本科学士"</f>
        <v>本科学士</v>
      </c>
      <c r="I74" s="3" t="str">
        <f>"2017.06.01"</f>
        <v>2017.06.01</v>
      </c>
      <c r="J74" s="3" t="str">
        <f t="shared" si="25"/>
        <v>是</v>
      </c>
      <c r="K74" s="3" t="str">
        <f>"0:暂未取得"</f>
        <v>0:暂未取得</v>
      </c>
      <c r="L74" s="3" t="str">
        <f>"2017届毕业生填暂无"</f>
        <v>2017届毕业生填暂无</v>
      </c>
      <c r="M74" s="3" t="str">
        <f>"2017届毕业生填暂无"</f>
        <v>2017届毕业生填暂无</v>
      </c>
      <c r="N74" s="3" t="str">
        <f t="shared" si="22"/>
        <v>小学</v>
      </c>
      <c r="O74" s="3" t="str">
        <f t="shared" si="24"/>
        <v>106:体育</v>
      </c>
      <c r="P74" s="3" t="str">
        <f t="shared" si="23"/>
        <v>通过</v>
      </c>
    </row>
    <row r="75" spans="1:16" ht="28.5">
      <c r="A75" s="3" t="str">
        <f>"73"</f>
        <v>73</v>
      </c>
      <c r="B75" s="3" t="str">
        <f>"蓝靖鹏"</f>
        <v>蓝靖鹏</v>
      </c>
      <c r="C75" s="3" t="str">
        <f>"男        "</f>
        <v>男        </v>
      </c>
      <c r="D75" s="3" t="str">
        <f>"壮族"</f>
        <v>壮族</v>
      </c>
      <c r="E75" s="3" t="str">
        <f>"1995年10月"</f>
        <v>1995年10月</v>
      </c>
      <c r="F75" s="3" t="str">
        <f>"广西师范学院小学教育"</f>
        <v>广西师范学院小学教育</v>
      </c>
      <c r="G75" s="3" t="str">
        <f>"小学教育"</f>
        <v>小学教育</v>
      </c>
      <c r="H75" s="3" t="str">
        <f>"专科无学位"</f>
        <v>专科无学位</v>
      </c>
      <c r="I75" s="3" t="str">
        <f>"2017.07.01"</f>
        <v>2017.07.01</v>
      </c>
      <c r="J75" s="3" t="str">
        <f t="shared" si="25"/>
        <v>是</v>
      </c>
      <c r="K75" s="3" t="str">
        <f>"0:暂未取得"</f>
        <v>0:暂未取得</v>
      </c>
      <c r="L75" s="3" t="str">
        <f>"暂无"</f>
        <v>暂无</v>
      </c>
      <c r="M75" s="3" t="str">
        <f>"暂无"</f>
        <v>暂无</v>
      </c>
      <c r="N75" s="3" t="str">
        <f t="shared" si="22"/>
        <v>小学</v>
      </c>
      <c r="O75" s="3" t="str">
        <f t="shared" si="24"/>
        <v>106:体育</v>
      </c>
      <c r="P75" s="3" t="str">
        <f t="shared" si="23"/>
        <v>通过</v>
      </c>
    </row>
    <row r="76" spans="1:16" ht="42.75">
      <c r="A76" s="3" t="str">
        <f>"74"</f>
        <v>74</v>
      </c>
      <c r="B76" s="3" t="str">
        <f>"蓝苏平"</f>
        <v>蓝苏平</v>
      </c>
      <c r="C76" s="3" t="str">
        <f>"男        "</f>
        <v>男        </v>
      </c>
      <c r="D76" s="3" t="str">
        <f>"壮族"</f>
        <v>壮族</v>
      </c>
      <c r="E76" s="3" t="str">
        <f>"1994年05月"</f>
        <v>1994年05月</v>
      </c>
      <c r="F76" s="3" t="str">
        <f>"百色学院体育教育"</f>
        <v>百色学院体育教育</v>
      </c>
      <c r="G76" s="3" t="str">
        <f>"体育教育"</f>
        <v>体育教育</v>
      </c>
      <c r="H76" s="3" t="str">
        <f>"本科学士"</f>
        <v>本科学士</v>
      </c>
      <c r="I76" s="3" t="str">
        <f>"2016.06.01"</f>
        <v>2016.06.01</v>
      </c>
      <c r="J76" s="3" t="str">
        <f t="shared" si="25"/>
        <v>是</v>
      </c>
      <c r="K76" s="3" t="str">
        <f>"4:高级中学"</f>
        <v>4:高级中学</v>
      </c>
      <c r="L76" s="3" t="str">
        <f>"20164580041001047"</f>
        <v>20164580041001047</v>
      </c>
      <c r="M76" s="3" t="str">
        <f>"106091201605001022"</f>
        <v>106091201605001022</v>
      </c>
      <c r="N76" s="3" t="str">
        <f t="shared" si="22"/>
        <v>小学</v>
      </c>
      <c r="O76" s="3" t="str">
        <f t="shared" si="24"/>
        <v>106:体育</v>
      </c>
      <c r="P76" s="3" t="str">
        <f t="shared" si="23"/>
        <v>通过</v>
      </c>
    </row>
    <row r="77" spans="1:16" ht="28.5">
      <c r="A77" s="3" t="str">
        <f>"75"</f>
        <v>75</v>
      </c>
      <c r="B77" s="3" t="str">
        <f>"潘柯伊"</f>
        <v>潘柯伊</v>
      </c>
      <c r="C77" s="3" t="str">
        <f>"女        "</f>
        <v>女        </v>
      </c>
      <c r="D77" s="3" t="str">
        <f>"壮族"</f>
        <v>壮族</v>
      </c>
      <c r="E77" s="3" t="str">
        <f>"1996年07月"</f>
        <v>1996年07月</v>
      </c>
      <c r="F77" s="3" t="str">
        <f>"广西师范学院小学教育"</f>
        <v>广西师范学院小学教育</v>
      </c>
      <c r="G77" s="3" t="str">
        <f>"小学教育"</f>
        <v>小学教育</v>
      </c>
      <c r="H77" s="3" t="str">
        <f aca="true" t="shared" si="26" ref="H77:H82">"专科无学位"</f>
        <v>专科无学位</v>
      </c>
      <c r="I77" s="3" t="str">
        <f>"2017.07.01"</f>
        <v>2017.07.01</v>
      </c>
      <c r="J77" s="3" t="str">
        <f t="shared" si="25"/>
        <v>是</v>
      </c>
      <c r="K77" s="3" t="str">
        <f>"0:暂未取得"</f>
        <v>0:暂未取得</v>
      </c>
      <c r="L77" s="3" t="str">
        <f>"暂无"</f>
        <v>暂无</v>
      </c>
      <c r="M77" s="3" t="str">
        <f>"暂无"</f>
        <v>暂无</v>
      </c>
      <c r="N77" s="3" t="str">
        <f t="shared" si="22"/>
        <v>小学</v>
      </c>
      <c r="O77" s="3" t="str">
        <f>"107:音乐"</f>
        <v>107:音乐</v>
      </c>
      <c r="P77" s="3" t="str">
        <f t="shared" si="23"/>
        <v>通过</v>
      </c>
    </row>
    <row r="78" spans="1:16" ht="42.75">
      <c r="A78" s="3" t="str">
        <f>"76"</f>
        <v>76</v>
      </c>
      <c r="B78" s="3" t="str">
        <f>"郭振远"</f>
        <v>郭振远</v>
      </c>
      <c r="C78" s="3" t="str">
        <f>"男        "</f>
        <v>男        </v>
      </c>
      <c r="D78" s="3" t="str">
        <f>"汉族"</f>
        <v>汉族</v>
      </c>
      <c r="E78" s="3" t="str">
        <f>"1995年01月"</f>
        <v>1995年01月</v>
      </c>
      <c r="F78" s="3" t="str">
        <f>"焦作师范高等专科学校音乐教育"</f>
        <v>焦作师范高等专科学校音乐教育</v>
      </c>
      <c r="G78" s="3" t="str">
        <f>"音乐教育"</f>
        <v>音乐教育</v>
      </c>
      <c r="H78" s="3" t="str">
        <f t="shared" si="26"/>
        <v>专科无学位</v>
      </c>
      <c r="I78" s="3" t="str">
        <f>"2017.06.01"</f>
        <v>2017.06.01</v>
      </c>
      <c r="J78" s="3" t="str">
        <f t="shared" si="25"/>
        <v>是</v>
      </c>
      <c r="K78" s="3" t="str">
        <f>"3:初级中学"</f>
        <v>3:初级中学</v>
      </c>
      <c r="L78" s="3" t="str">
        <f>"2017届毕业生填暂无"</f>
        <v>2017届毕业生填暂无</v>
      </c>
      <c r="M78" s="3" t="str">
        <f>"129501201706002348"</f>
        <v>129501201706002348</v>
      </c>
      <c r="N78" s="3" t="str">
        <f t="shared" si="22"/>
        <v>小学</v>
      </c>
      <c r="O78" s="3" t="str">
        <f>"107:音乐"</f>
        <v>107:音乐</v>
      </c>
      <c r="P78" s="3" t="str">
        <f t="shared" si="23"/>
        <v>通过</v>
      </c>
    </row>
    <row r="79" spans="1:16" ht="28.5">
      <c r="A79" s="3" t="str">
        <f>"77"</f>
        <v>77</v>
      </c>
      <c r="B79" s="3" t="str">
        <f>"罗晓华"</f>
        <v>罗晓华</v>
      </c>
      <c r="C79" s="3" t="str">
        <f aca="true" t="shared" si="27" ref="C79:C85">"女        "</f>
        <v>女        </v>
      </c>
      <c r="D79" s="3" t="str">
        <f>"壮族"</f>
        <v>壮族</v>
      </c>
      <c r="E79" s="3" t="str">
        <f>"1995年08月"</f>
        <v>1995年08月</v>
      </c>
      <c r="F79" s="3" t="str">
        <f>"玉林师范学院学前教育"</f>
        <v>玉林师范学院学前教育</v>
      </c>
      <c r="G79" s="3" t="str">
        <f>"学前教育"</f>
        <v>学前教育</v>
      </c>
      <c r="H79" s="3" t="str">
        <f t="shared" si="26"/>
        <v>专科无学位</v>
      </c>
      <c r="I79" s="3" t="str">
        <f>"2017.06.01"</f>
        <v>2017.06.01</v>
      </c>
      <c r="J79" s="3" t="str">
        <f t="shared" si="25"/>
        <v>是</v>
      </c>
      <c r="K79" s="3" t="str">
        <f>"1:幼儿园"</f>
        <v>1:幼儿园</v>
      </c>
      <c r="L79" s="3" t="str">
        <f>"无"</f>
        <v>无</v>
      </c>
      <c r="M79" s="3" t="str">
        <f>"无"</f>
        <v>无</v>
      </c>
      <c r="N79" s="3" t="str">
        <f t="shared" si="22"/>
        <v>小学</v>
      </c>
      <c r="O79" s="3" t="str">
        <f>"107:音乐"</f>
        <v>107:音乐</v>
      </c>
      <c r="P79" s="3" t="str">
        <f t="shared" si="23"/>
        <v>通过</v>
      </c>
    </row>
    <row r="80" spans="1:16" ht="42.75">
      <c r="A80" s="3" t="str">
        <f>"78"</f>
        <v>78</v>
      </c>
      <c r="B80" s="3" t="str">
        <f>"樊其忆"</f>
        <v>樊其忆</v>
      </c>
      <c r="C80" s="3" t="str">
        <f t="shared" si="27"/>
        <v>女        </v>
      </c>
      <c r="D80" s="3" t="str">
        <f>"壮族"</f>
        <v>壮族</v>
      </c>
      <c r="E80" s="3" t="str">
        <f>"1994年06月"</f>
        <v>1994年06月</v>
      </c>
      <c r="F80" s="3" t="str">
        <f>"广西科技师范学院音乐教育学前音乐教育方向"</f>
        <v>广西科技师范学院音乐教育学前音乐教育方向</v>
      </c>
      <c r="G80" s="3" t="str">
        <f>"音乐教育学前音乐教育方向"</f>
        <v>音乐教育学前音乐教育方向</v>
      </c>
      <c r="H80" s="3" t="str">
        <f t="shared" si="26"/>
        <v>专科无学位</v>
      </c>
      <c r="I80" s="3" t="str">
        <f>"2017.07.01"</f>
        <v>2017.07.01</v>
      </c>
      <c r="J80" s="3" t="str">
        <f t="shared" si="25"/>
        <v>是</v>
      </c>
      <c r="K80" s="3" t="str">
        <f>"0:暂未取得"</f>
        <v>0:暂未取得</v>
      </c>
      <c r="L80" s="3" t="str">
        <f>"无"</f>
        <v>无</v>
      </c>
      <c r="M80" s="3" t="str">
        <f>"无"</f>
        <v>无</v>
      </c>
      <c r="N80" s="3" t="str">
        <f t="shared" si="22"/>
        <v>小学</v>
      </c>
      <c r="O80" s="3" t="str">
        <f>"107:音乐"</f>
        <v>107:音乐</v>
      </c>
      <c r="P80" s="3" t="str">
        <f t="shared" si="23"/>
        <v>通过</v>
      </c>
    </row>
    <row r="81" spans="1:16" ht="42.75">
      <c r="A81" s="3" t="str">
        <f>"79"</f>
        <v>79</v>
      </c>
      <c r="B81" s="3" t="str">
        <f>"韦林"</f>
        <v>韦林</v>
      </c>
      <c r="C81" s="3" t="str">
        <f t="shared" si="27"/>
        <v>女        </v>
      </c>
      <c r="D81" s="3" t="str">
        <f>"壮族"</f>
        <v>壮族</v>
      </c>
      <c r="E81" s="3" t="str">
        <f>"1996年02月"</f>
        <v>1996年02月</v>
      </c>
      <c r="F81" s="3" t="str">
        <f>"桂林师范高等专科学校音乐教育"</f>
        <v>桂林师范高等专科学校音乐教育</v>
      </c>
      <c r="G81" s="3" t="str">
        <f>"音乐教育"</f>
        <v>音乐教育</v>
      </c>
      <c r="H81" s="3" t="str">
        <f t="shared" si="26"/>
        <v>专科无学位</v>
      </c>
      <c r="I81" s="3" t="str">
        <f>"2017.06.01"</f>
        <v>2017.06.01</v>
      </c>
      <c r="J81" s="3" t="str">
        <f t="shared" si="25"/>
        <v>是</v>
      </c>
      <c r="K81" s="3" t="str">
        <f>"0:暂未取得"</f>
        <v>0:暂未取得</v>
      </c>
      <c r="L81" s="3" t="str">
        <f>"2017届毕业生填暂无"</f>
        <v>2017届毕业生填暂无</v>
      </c>
      <c r="M81" s="3" t="str">
        <f>"2017届毕业生填暂无"</f>
        <v>2017届毕业生填暂无</v>
      </c>
      <c r="N81" s="3" t="str">
        <f t="shared" si="22"/>
        <v>小学</v>
      </c>
      <c r="O81" s="3" t="str">
        <f>"107:音乐"</f>
        <v>107:音乐</v>
      </c>
      <c r="P81" s="3" t="str">
        <f t="shared" si="23"/>
        <v>通过</v>
      </c>
    </row>
    <row r="82" spans="1:16" ht="42.75">
      <c r="A82" s="3" t="str">
        <f>"80"</f>
        <v>80</v>
      </c>
      <c r="B82" s="3" t="str">
        <f>"莫春花"</f>
        <v>莫春花</v>
      </c>
      <c r="C82" s="3" t="str">
        <f t="shared" si="27"/>
        <v>女        </v>
      </c>
      <c r="D82" s="3" t="str">
        <f>"壮族"</f>
        <v>壮族</v>
      </c>
      <c r="E82" s="3" t="str">
        <f>"1997年07月"</f>
        <v>1997年07月</v>
      </c>
      <c r="F82" s="3" t="str">
        <f>"广西科技师范学院小学教育"</f>
        <v>广西科技师范学院小学教育</v>
      </c>
      <c r="G82" s="3" t="str">
        <f>"小学教育"</f>
        <v>小学教育</v>
      </c>
      <c r="H82" s="3" t="str">
        <f t="shared" si="26"/>
        <v>专科无学位</v>
      </c>
      <c r="I82" s="3" t="str">
        <f>"2016.06.01"</f>
        <v>2016.06.01</v>
      </c>
      <c r="J82" s="3" t="str">
        <f t="shared" si="25"/>
        <v>是</v>
      </c>
      <c r="K82" s="3" t="str">
        <f>"2:小学"</f>
        <v>2:小学</v>
      </c>
      <c r="L82" s="3" t="str">
        <f>"认定中"</f>
        <v>认定中</v>
      </c>
      <c r="M82" s="3" t="str">
        <f>"115461201606372071"</f>
        <v>115461201606372071</v>
      </c>
      <c r="N82" s="3" t="str">
        <f t="shared" si="22"/>
        <v>小学</v>
      </c>
      <c r="O82" s="3" t="str">
        <f aca="true" t="shared" si="28" ref="O82:O89">"108:美术"</f>
        <v>108:美术</v>
      </c>
      <c r="P82" s="3" t="str">
        <f t="shared" si="23"/>
        <v>通过</v>
      </c>
    </row>
    <row r="83" spans="1:16" ht="42.75">
      <c r="A83" s="3" t="str">
        <f>"81"</f>
        <v>81</v>
      </c>
      <c r="B83" s="3" t="str">
        <f>"罗观娟"</f>
        <v>罗观娟</v>
      </c>
      <c r="C83" s="3" t="str">
        <f t="shared" si="27"/>
        <v>女        </v>
      </c>
      <c r="D83" s="3" t="str">
        <f>"汉族"</f>
        <v>汉族</v>
      </c>
      <c r="E83" s="3" t="str">
        <f>"1996年01月"</f>
        <v>1996年01月</v>
      </c>
      <c r="F83" s="3" t="str">
        <f>"广西师范学院服装与服饰设计"</f>
        <v>广西师范学院服装与服饰设计</v>
      </c>
      <c r="G83" s="3" t="str">
        <f>"服装与服饰设计"</f>
        <v>服装与服饰设计</v>
      </c>
      <c r="H83" s="3" t="str">
        <f>"本科学士"</f>
        <v>本科学士</v>
      </c>
      <c r="I83" s="3" t="str">
        <f>"2017.07.01"</f>
        <v>2017.07.01</v>
      </c>
      <c r="J83" s="3" t="str">
        <f>"不是"</f>
        <v>不是</v>
      </c>
      <c r="K83" s="3" t="str">
        <f>"0:暂未取得"</f>
        <v>0:暂未取得</v>
      </c>
      <c r="L83" s="3" t="str">
        <f>"2017届毕业生填暂无"</f>
        <v>2017届毕业生填暂无</v>
      </c>
      <c r="M83" s="3" t="str">
        <f>"2017届毕业生填暂无"</f>
        <v>2017届毕业生填暂无</v>
      </c>
      <c r="N83" s="3" t="str">
        <f t="shared" si="22"/>
        <v>小学</v>
      </c>
      <c r="O83" s="3" t="str">
        <f t="shared" si="28"/>
        <v>108:美术</v>
      </c>
      <c r="P83" s="3" t="str">
        <f t="shared" si="23"/>
        <v>通过</v>
      </c>
    </row>
    <row r="84" spans="1:16" ht="57">
      <c r="A84" s="3" t="str">
        <f>"82"</f>
        <v>82</v>
      </c>
      <c r="B84" s="3" t="str">
        <f>"韦园"</f>
        <v>韦园</v>
      </c>
      <c r="C84" s="3" t="str">
        <f t="shared" si="27"/>
        <v>女        </v>
      </c>
      <c r="D84" s="3" t="str">
        <f>"壮族"</f>
        <v>壮族</v>
      </c>
      <c r="E84" s="3" t="str">
        <f>"1997年04月"</f>
        <v>1997年04月</v>
      </c>
      <c r="F84" s="3" t="str">
        <f>"广西科技师范学院小学教育全科定向免费师范生"</f>
        <v>广西科技师范学院小学教育全科定向免费师范生</v>
      </c>
      <c r="G84" s="3" t="str">
        <f>"小学教育全科定向免费师范生"</f>
        <v>小学教育全科定向免费师范生</v>
      </c>
      <c r="H84" s="3" t="str">
        <f>"专科无学位"</f>
        <v>专科无学位</v>
      </c>
      <c r="I84" s="3" t="str">
        <f>"2017.06.01"</f>
        <v>2017.06.01</v>
      </c>
      <c r="J84" s="3" t="str">
        <f>"是"</f>
        <v>是</v>
      </c>
      <c r="K84" s="3" t="str">
        <f>"2:小学"</f>
        <v>2:小学</v>
      </c>
      <c r="L84" s="3" t="str">
        <f>"2017届毕业生填暂无"</f>
        <v>2017届毕业生填暂无</v>
      </c>
      <c r="M84" s="3" t="str">
        <f>"2017届毕业生填暂无"</f>
        <v>2017届毕业生填暂无</v>
      </c>
      <c r="N84" s="3" t="str">
        <f t="shared" si="22"/>
        <v>小学</v>
      </c>
      <c r="O84" s="3" t="str">
        <f t="shared" si="28"/>
        <v>108:美术</v>
      </c>
      <c r="P84" s="3" t="str">
        <f t="shared" si="23"/>
        <v>通过</v>
      </c>
    </row>
    <row r="85" spans="1:16" ht="28.5">
      <c r="A85" s="3" t="str">
        <f>"83"</f>
        <v>83</v>
      </c>
      <c r="B85" s="3" t="str">
        <f>"陈旭丽"</f>
        <v>陈旭丽</v>
      </c>
      <c r="C85" s="3" t="str">
        <f t="shared" si="27"/>
        <v>女        </v>
      </c>
      <c r="D85" s="3" t="str">
        <f>"汉族"</f>
        <v>汉族</v>
      </c>
      <c r="E85" s="3" t="str">
        <f>"1995年07月"</f>
        <v>1995年07月</v>
      </c>
      <c r="F85" s="3" t="str">
        <f>"玉林师范学院学前教育"</f>
        <v>玉林师范学院学前教育</v>
      </c>
      <c r="G85" s="3" t="str">
        <f>"学前教育"</f>
        <v>学前教育</v>
      </c>
      <c r="H85" s="3" t="str">
        <f>"专科无学位"</f>
        <v>专科无学位</v>
      </c>
      <c r="I85" s="3" t="str">
        <f>"2017.06.01"</f>
        <v>2017.06.01</v>
      </c>
      <c r="J85" s="3" t="str">
        <f>"是"</f>
        <v>是</v>
      </c>
      <c r="K85" s="3" t="str">
        <f>"1:幼儿园"</f>
        <v>1:幼儿园</v>
      </c>
      <c r="L85" s="3" t="str">
        <f>"暂无"</f>
        <v>暂无</v>
      </c>
      <c r="M85" s="3" t="str">
        <f>"暂无"</f>
        <v>暂无</v>
      </c>
      <c r="N85" s="3" t="str">
        <f t="shared" si="22"/>
        <v>小学</v>
      </c>
      <c r="O85" s="3" t="str">
        <f t="shared" si="28"/>
        <v>108:美术</v>
      </c>
      <c r="P85" s="3" t="str">
        <f t="shared" si="23"/>
        <v>通过</v>
      </c>
    </row>
    <row r="86" spans="1:16" ht="28.5">
      <c r="A86" s="3" t="str">
        <f>"84"</f>
        <v>84</v>
      </c>
      <c r="B86" s="3" t="str">
        <f>"韦兰浩"</f>
        <v>韦兰浩</v>
      </c>
      <c r="C86" s="3" t="str">
        <f>"男        "</f>
        <v>男        </v>
      </c>
      <c r="D86" s="3" t="str">
        <f aca="true" t="shared" si="29" ref="D86:D101">"壮族"</f>
        <v>壮族</v>
      </c>
      <c r="E86" s="3" t="str">
        <f>"1993年11月"</f>
        <v>1993年11月</v>
      </c>
      <c r="F86" s="3" t="str">
        <f>"华中科技大学武昌分校视觉传达设计"</f>
        <v>华中科技大学武昌分校视觉传达设计</v>
      </c>
      <c r="G86" s="3" t="str">
        <f>"视觉传达设计"</f>
        <v>视觉传达设计</v>
      </c>
      <c r="H86" s="3" t="str">
        <f>"本科学士"</f>
        <v>本科学士</v>
      </c>
      <c r="I86" s="3" t="str">
        <f>"2017.06.01"</f>
        <v>2017.06.01</v>
      </c>
      <c r="J86" s="3" t="str">
        <f>"不是"</f>
        <v>不是</v>
      </c>
      <c r="K86" s="3" t="str">
        <f>"0:暂未取得"</f>
        <v>0:暂未取得</v>
      </c>
      <c r="L86" s="3" t="str">
        <f>"暂无"</f>
        <v>暂无</v>
      </c>
      <c r="M86" s="3" t="str">
        <f>"暂无"</f>
        <v>暂无</v>
      </c>
      <c r="N86" s="3" t="str">
        <f t="shared" si="22"/>
        <v>小学</v>
      </c>
      <c r="O86" s="3" t="str">
        <f t="shared" si="28"/>
        <v>108:美术</v>
      </c>
      <c r="P86" s="3" t="str">
        <f t="shared" si="23"/>
        <v>通过</v>
      </c>
    </row>
    <row r="87" spans="1:16" ht="42.75">
      <c r="A87" s="3" t="str">
        <f>"85"</f>
        <v>85</v>
      </c>
      <c r="B87" s="3" t="str">
        <f>"谭客客"</f>
        <v>谭客客</v>
      </c>
      <c r="C87" s="3" t="str">
        <f>"女        "</f>
        <v>女        </v>
      </c>
      <c r="D87" s="3" t="str">
        <f t="shared" si="29"/>
        <v>壮族</v>
      </c>
      <c r="E87" s="3" t="str">
        <f>"1992年06月"</f>
        <v>1992年06月</v>
      </c>
      <c r="F87" s="3" t="str">
        <f>"广西艺术学院艺术教育"</f>
        <v>广西艺术学院艺术教育</v>
      </c>
      <c r="G87" s="3" t="str">
        <f>"艺术教育"</f>
        <v>艺术教育</v>
      </c>
      <c r="H87" s="3" t="str">
        <f>"本科学士"</f>
        <v>本科学士</v>
      </c>
      <c r="I87" s="3" t="str">
        <f>"2017.07.01"</f>
        <v>2017.07.01</v>
      </c>
      <c r="J87" s="3" t="str">
        <f>"是"</f>
        <v>是</v>
      </c>
      <c r="K87" s="3" t="str">
        <f>"4:高级中学"</f>
        <v>4:高级中学</v>
      </c>
      <c r="L87" s="3" t="str">
        <f>"2017届毕业生填暂无"</f>
        <v>2017届毕业生填暂无</v>
      </c>
      <c r="M87" s="3" t="str">
        <f>"2017届毕业生填暂无"</f>
        <v>2017届毕业生填暂无</v>
      </c>
      <c r="N87" s="3" t="str">
        <f t="shared" si="22"/>
        <v>小学</v>
      </c>
      <c r="O87" s="3" t="str">
        <f t="shared" si="28"/>
        <v>108:美术</v>
      </c>
      <c r="P87" s="3" t="str">
        <f t="shared" si="23"/>
        <v>通过</v>
      </c>
    </row>
    <row r="88" spans="1:16" ht="42.75">
      <c r="A88" s="3" t="str">
        <f>"86"</f>
        <v>86</v>
      </c>
      <c r="B88" s="3" t="str">
        <f>"盘柳兰"</f>
        <v>盘柳兰</v>
      </c>
      <c r="C88" s="3" t="str">
        <f>"女        "</f>
        <v>女        </v>
      </c>
      <c r="D88" s="3" t="str">
        <f t="shared" si="29"/>
        <v>壮族</v>
      </c>
      <c r="E88" s="3" t="str">
        <f>"1994年11月"</f>
        <v>1994年11月</v>
      </c>
      <c r="F88" s="3" t="str">
        <f>"广西科技师范学院小学教育"</f>
        <v>广西科技师范学院小学教育</v>
      </c>
      <c r="G88" s="3" t="str">
        <f>"小学教育"</f>
        <v>小学教育</v>
      </c>
      <c r="H88" s="3" t="str">
        <f>"专科无学位"</f>
        <v>专科无学位</v>
      </c>
      <c r="I88" s="3" t="str">
        <f>"2016.06.01"</f>
        <v>2016.06.01</v>
      </c>
      <c r="J88" s="3" t="str">
        <f>"是"</f>
        <v>是</v>
      </c>
      <c r="K88" s="3" t="str">
        <f>"2:小学"</f>
        <v>2:小学</v>
      </c>
      <c r="L88" s="3" t="str">
        <f>"认定中"</f>
        <v>认定中</v>
      </c>
      <c r="M88" s="3" t="str">
        <f>"115461201606752446"</f>
        <v>115461201606752446</v>
      </c>
      <c r="N88" s="3" t="str">
        <f t="shared" si="22"/>
        <v>小学</v>
      </c>
      <c r="O88" s="3" t="str">
        <f t="shared" si="28"/>
        <v>108:美术</v>
      </c>
      <c r="P88" s="3" t="str">
        <f t="shared" si="23"/>
        <v>通过</v>
      </c>
    </row>
    <row r="89" spans="1:16" ht="42.75">
      <c r="A89" s="3" t="str">
        <f>"87"</f>
        <v>87</v>
      </c>
      <c r="B89" s="3" t="str">
        <f>"石春柳"</f>
        <v>石春柳</v>
      </c>
      <c r="C89" s="3" t="str">
        <f>"女        "</f>
        <v>女        </v>
      </c>
      <c r="D89" s="3" t="str">
        <f t="shared" si="29"/>
        <v>壮族</v>
      </c>
      <c r="E89" s="3" t="str">
        <f>"1993年02月"</f>
        <v>1993年02月</v>
      </c>
      <c r="F89" s="3" t="str">
        <f>"广西民族大学相思湖学院艺术设计"</f>
        <v>广西民族大学相思湖学院艺术设计</v>
      </c>
      <c r="G89" s="3" t="str">
        <f>"艺术设计"</f>
        <v>艺术设计</v>
      </c>
      <c r="H89" s="3" t="str">
        <f>"本科学士"</f>
        <v>本科学士</v>
      </c>
      <c r="I89" s="3" t="str">
        <f>"2016.07.01"</f>
        <v>2016.07.01</v>
      </c>
      <c r="J89" s="3" t="str">
        <f>"不是"</f>
        <v>不是</v>
      </c>
      <c r="K89" s="3" t="str">
        <f>"4:高级中学"</f>
        <v>4:高级中学</v>
      </c>
      <c r="L89" s="3" t="str">
        <f>"申请认定中"</f>
        <v>申请认定中</v>
      </c>
      <c r="M89" s="3" t="str">
        <f>"136401201605001881"</f>
        <v>136401201605001881</v>
      </c>
      <c r="N89" s="3" t="str">
        <f t="shared" si="22"/>
        <v>小学</v>
      </c>
      <c r="O89" s="3" t="str">
        <f t="shared" si="28"/>
        <v>108:美术</v>
      </c>
      <c r="P89" s="3" t="str">
        <f t="shared" si="23"/>
        <v>通过</v>
      </c>
    </row>
    <row r="90" spans="1:16" ht="42.75">
      <c r="A90" s="3" t="str">
        <f>"88"</f>
        <v>88</v>
      </c>
      <c r="B90" s="3" t="str">
        <f>"蓝凯"</f>
        <v>蓝凯</v>
      </c>
      <c r="C90" s="3" t="str">
        <f>"男        "</f>
        <v>男        </v>
      </c>
      <c r="D90" s="3" t="str">
        <f t="shared" si="29"/>
        <v>壮族</v>
      </c>
      <c r="E90" s="3" t="str">
        <f>"1994年10月"</f>
        <v>1994年10月</v>
      </c>
      <c r="F90" s="3" t="str">
        <f>"广西师范大学计算机科学与技术"</f>
        <v>广西师范大学计算机科学与技术</v>
      </c>
      <c r="G90" s="3" t="str">
        <f>"计算机科学与技术"</f>
        <v>计算机科学与技术</v>
      </c>
      <c r="H90" s="3" t="str">
        <f>"本科学士"</f>
        <v>本科学士</v>
      </c>
      <c r="I90" s="3" t="str">
        <f>"2017.06.01"</f>
        <v>2017.06.01</v>
      </c>
      <c r="J90" s="3" t="str">
        <f>"不是"</f>
        <v>不是</v>
      </c>
      <c r="K90" s="3" t="str">
        <f>"0:暂未取得"</f>
        <v>0:暂未取得</v>
      </c>
      <c r="L90" s="3" t="str">
        <f>"2017届毕业生填暂无"</f>
        <v>2017届毕业生填暂无</v>
      </c>
      <c r="M90" s="3" t="str">
        <f>"2017届毕业生填暂无"</f>
        <v>2017届毕业生填暂无</v>
      </c>
      <c r="N90" s="3" t="str">
        <f t="shared" si="22"/>
        <v>小学</v>
      </c>
      <c r="O90" s="3" t="str">
        <f aca="true" t="shared" si="30" ref="O90:O99">"110:信息技术"</f>
        <v>110:信息技术</v>
      </c>
      <c r="P90" s="3" t="str">
        <f t="shared" si="23"/>
        <v>通过</v>
      </c>
    </row>
    <row r="91" spans="1:16" ht="42.75">
      <c r="A91" s="3" t="str">
        <f>"89"</f>
        <v>89</v>
      </c>
      <c r="B91" s="3" t="str">
        <f>"蓝培金"</f>
        <v>蓝培金</v>
      </c>
      <c r="C91" s="3" t="str">
        <f>"女        "</f>
        <v>女        </v>
      </c>
      <c r="D91" s="3" t="str">
        <f t="shared" si="29"/>
        <v>壮族</v>
      </c>
      <c r="E91" s="3" t="str">
        <f>"1993年03月"</f>
        <v>1993年03月</v>
      </c>
      <c r="F91" s="3" t="str">
        <f>"玉林师范学院教育技术学"</f>
        <v>玉林师范学院教育技术学</v>
      </c>
      <c r="G91" s="3" t="str">
        <f>"教育技术学"</f>
        <v>教育技术学</v>
      </c>
      <c r="H91" s="3" t="str">
        <f>"本科学士"</f>
        <v>本科学士</v>
      </c>
      <c r="I91" s="3" t="str">
        <f>"2017.06.01"</f>
        <v>2017.06.01</v>
      </c>
      <c r="J91" s="3" t="str">
        <f>"是"</f>
        <v>是</v>
      </c>
      <c r="K91" s="3" t="str">
        <f>"0:暂未取得"</f>
        <v>0:暂未取得</v>
      </c>
      <c r="L91" s="3" t="str">
        <f>"2017届毕业生填暂无"</f>
        <v>2017届毕业生填暂无</v>
      </c>
      <c r="M91" s="3" t="str">
        <f>"2017届毕业生填暂无"</f>
        <v>2017届毕业生填暂无</v>
      </c>
      <c r="N91" s="3" t="str">
        <f t="shared" si="22"/>
        <v>小学</v>
      </c>
      <c r="O91" s="3" t="str">
        <f t="shared" si="30"/>
        <v>110:信息技术</v>
      </c>
      <c r="P91" s="3" t="str">
        <f t="shared" si="23"/>
        <v>通过</v>
      </c>
    </row>
    <row r="92" spans="1:16" ht="28.5">
      <c r="A92" s="3" t="str">
        <f>"90"</f>
        <v>90</v>
      </c>
      <c r="B92" s="3" t="str">
        <f>"覃海丽"</f>
        <v>覃海丽</v>
      </c>
      <c r="C92" s="3" t="str">
        <f>"女        "</f>
        <v>女        </v>
      </c>
      <c r="D92" s="3" t="str">
        <f t="shared" si="29"/>
        <v>壮族</v>
      </c>
      <c r="E92" s="3" t="str">
        <f>"1996年02月"</f>
        <v>1996年02月</v>
      </c>
      <c r="F92" s="3" t="str">
        <f>"桂林师范高等专科学校现代教育技术"</f>
        <v>桂林师范高等专科学校现代教育技术</v>
      </c>
      <c r="G92" s="3" t="str">
        <f>"现代教育技术"</f>
        <v>现代教育技术</v>
      </c>
      <c r="H92" s="3" t="str">
        <f>"专科无学位"</f>
        <v>专科无学位</v>
      </c>
      <c r="I92" s="3" t="str">
        <f>"2017.06.01"</f>
        <v>2017.06.01</v>
      </c>
      <c r="J92" s="3" t="str">
        <f>"是"</f>
        <v>是</v>
      </c>
      <c r="K92" s="3" t="str">
        <f>"2:小学"</f>
        <v>2:小学</v>
      </c>
      <c r="L92" s="3" t="str">
        <f aca="true" t="shared" si="31" ref="L92:M96">"暂无"</f>
        <v>暂无</v>
      </c>
      <c r="M92" s="3" t="str">
        <f t="shared" si="31"/>
        <v>暂无</v>
      </c>
      <c r="N92" s="3" t="str">
        <f t="shared" si="22"/>
        <v>小学</v>
      </c>
      <c r="O92" s="3" t="str">
        <f t="shared" si="30"/>
        <v>110:信息技术</v>
      </c>
      <c r="P92" s="3" t="str">
        <f t="shared" si="23"/>
        <v>通过</v>
      </c>
    </row>
    <row r="93" spans="1:16" ht="28.5">
      <c r="A93" s="3" t="str">
        <f>"91"</f>
        <v>91</v>
      </c>
      <c r="B93" s="3" t="str">
        <f>"樊荣"</f>
        <v>樊荣</v>
      </c>
      <c r="C93" s="3" t="str">
        <f>"男        "</f>
        <v>男        </v>
      </c>
      <c r="D93" s="3" t="str">
        <f t="shared" si="29"/>
        <v>壮族</v>
      </c>
      <c r="E93" s="3" t="str">
        <f>"1993年09月"</f>
        <v>1993年09月</v>
      </c>
      <c r="F93" s="3" t="str">
        <f>"吉林师范大学博达学院软件工程"</f>
        <v>吉林师范大学博达学院软件工程</v>
      </c>
      <c r="G93" s="3" t="str">
        <f>"软件工程"</f>
        <v>软件工程</v>
      </c>
      <c r="H93" s="3" t="str">
        <f aca="true" t="shared" si="32" ref="H93:H112">"本科学士"</f>
        <v>本科学士</v>
      </c>
      <c r="I93" s="3" t="str">
        <f>"2017.07.01"</f>
        <v>2017.07.01</v>
      </c>
      <c r="J93" s="3" t="str">
        <f>"不是"</f>
        <v>不是</v>
      </c>
      <c r="K93" s="3" t="str">
        <f>"0:暂未取得"</f>
        <v>0:暂未取得</v>
      </c>
      <c r="L93" s="3" t="str">
        <f t="shared" si="31"/>
        <v>暂无</v>
      </c>
      <c r="M93" s="3" t="str">
        <f t="shared" si="31"/>
        <v>暂无</v>
      </c>
      <c r="N93" s="3" t="str">
        <f t="shared" si="22"/>
        <v>小学</v>
      </c>
      <c r="O93" s="3" t="str">
        <f t="shared" si="30"/>
        <v>110:信息技术</v>
      </c>
      <c r="P93" s="3" t="str">
        <f t="shared" si="23"/>
        <v>通过</v>
      </c>
    </row>
    <row r="94" spans="1:16" ht="42.75">
      <c r="A94" s="3" t="str">
        <f>"92"</f>
        <v>92</v>
      </c>
      <c r="B94" s="3" t="str">
        <f>"王丽红"</f>
        <v>王丽红</v>
      </c>
      <c r="C94" s="3" t="str">
        <f aca="true" t="shared" si="33" ref="C94:C106">"女        "</f>
        <v>女        </v>
      </c>
      <c r="D94" s="3" t="str">
        <f t="shared" si="29"/>
        <v>壮族</v>
      </c>
      <c r="E94" s="3" t="str">
        <f>"1991年12月"</f>
        <v>1991年12月</v>
      </c>
      <c r="F94" s="3" t="str">
        <f>"中南民族大学信息管理与信息系统"</f>
        <v>中南民族大学信息管理与信息系统</v>
      </c>
      <c r="G94" s="3" t="str">
        <f>"信息管理与信息系统"</f>
        <v>信息管理与信息系统</v>
      </c>
      <c r="H94" s="3" t="str">
        <f t="shared" si="32"/>
        <v>本科学士</v>
      </c>
      <c r="I94" s="3" t="str">
        <f aca="true" t="shared" si="34" ref="I94:I99">"2017.06.01"</f>
        <v>2017.06.01</v>
      </c>
      <c r="J94" s="3" t="str">
        <f>"不是"</f>
        <v>不是</v>
      </c>
      <c r="K94" s="3" t="str">
        <f>"0:暂未取得"</f>
        <v>0:暂未取得</v>
      </c>
      <c r="L94" s="3" t="str">
        <f t="shared" si="31"/>
        <v>暂无</v>
      </c>
      <c r="M94" s="3" t="str">
        <f t="shared" si="31"/>
        <v>暂无</v>
      </c>
      <c r="N94" s="3" t="str">
        <f t="shared" si="22"/>
        <v>小学</v>
      </c>
      <c r="O94" s="3" t="str">
        <f t="shared" si="30"/>
        <v>110:信息技术</v>
      </c>
      <c r="P94" s="3" t="str">
        <f t="shared" si="23"/>
        <v>通过</v>
      </c>
    </row>
    <row r="95" spans="1:16" ht="28.5">
      <c r="A95" s="3" t="str">
        <f>"93"</f>
        <v>93</v>
      </c>
      <c r="B95" s="3" t="str">
        <f>"莫柳花"</f>
        <v>莫柳花</v>
      </c>
      <c r="C95" s="3" t="str">
        <f t="shared" si="33"/>
        <v>女        </v>
      </c>
      <c r="D95" s="3" t="str">
        <f t="shared" si="29"/>
        <v>壮族</v>
      </c>
      <c r="E95" s="3" t="str">
        <f>"1993年02月"</f>
        <v>1993年02月</v>
      </c>
      <c r="F95" s="3" t="str">
        <f>"玉林师范学院教育技术学"</f>
        <v>玉林师范学院教育技术学</v>
      </c>
      <c r="G95" s="3" t="str">
        <f>"教育技术学"</f>
        <v>教育技术学</v>
      </c>
      <c r="H95" s="3" t="str">
        <f t="shared" si="32"/>
        <v>本科学士</v>
      </c>
      <c r="I95" s="3" t="str">
        <f t="shared" si="34"/>
        <v>2017.06.01</v>
      </c>
      <c r="J95" s="3" t="str">
        <f>"是"</f>
        <v>是</v>
      </c>
      <c r="K95" s="3" t="str">
        <f>"4:高级中学"</f>
        <v>4:高级中学</v>
      </c>
      <c r="L95" s="3" t="str">
        <f t="shared" si="31"/>
        <v>暂无</v>
      </c>
      <c r="M95" s="3" t="str">
        <f t="shared" si="31"/>
        <v>暂无</v>
      </c>
      <c r="N95" s="3" t="str">
        <f t="shared" si="22"/>
        <v>小学</v>
      </c>
      <c r="O95" s="3" t="str">
        <f t="shared" si="30"/>
        <v>110:信息技术</v>
      </c>
      <c r="P95" s="3" t="str">
        <f t="shared" si="23"/>
        <v>通过</v>
      </c>
    </row>
    <row r="96" spans="1:16" ht="28.5">
      <c r="A96" s="3" t="str">
        <f>"94"</f>
        <v>94</v>
      </c>
      <c r="B96" s="3" t="str">
        <f>"莫晓春"</f>
        <v>莫晓春</v>
      </c>
      <c r="C96" s="3" t="str">
        <f t="shared" si="33"/>
        <v>女        </v>
      </c>
      <c r="D96" s="3" t="str">
        <f t="shared" si="29"/>
        <v>壮族</v>
      </c>
      <c r="E96" s="3" t="str">
        <f>"1995年04月"</f>
        <v>1995年04月</v>
      </c>
      <c r="F96" s="3" t="str">
        <f>"玉林师范学院教育技术学"</f>
        <v>玉林师范学院教育技术学</v>
      </c>
      <c r="G96" s="3" t="str">
        <f>"教育技术学"</f>
        <v>教育技术学</v>
      </c>
      <c r="H96" s="3" t="str">
        <f t="shared" si="32"/>
        <v>本科学士</v>
      </c>
      <c r="I96" s="3" t="str">
        <f t="shared" si="34"/>
        <v>2017.06.01</v>
      </c>
      <c r="J96" s="3" t="str">
        <f>"是"</f>
        <v>是</v>
      </c>
      <c r="K96" s="3" t="str">
        <f>"4:高级中学"</f>
        <v>4:高级中学</v>
      </c>
      <c r="L96" s="3" t="str">
        <f t="shared" si="31"/>
        <v>暂无</v>
      </c>
      <c r="M96" s="3" t="str">
        <f t="shared" si="31"/>
        <v>暂无</v>
      </c>
      <c r="N96" s="3" t="str">
        <f t="shared" si="22"/>
        <v>小学</v>
      </c>
      <c r="O96" s="3" t="str">
        <f t="shared" si="30"/>
        <v>110:信息技术</v>
      </c>
      <c r="P96" s="3" t="str">
        <f t="shared" si="23"/>
        <v>通过</v>
      </c>
    </row>
    <row r="97" spans="1:16" ht="42.75">
      <c r="A97" s="3" t="str">
        <f>"95"</f>
        <v>95</v>
      </c>
      <c r="B97" s="3" t="str">
        <f>"肖霞莲"</f>
        <v>肖霞莲</v>
      </c>
      <c r="C97" s="3" t="str">
        <f t="shared" si="33"/>
        <v>女        </v>
      </c>
      <c r="D97" s="3" t="str">
        <f t="shared" si="29"/>
        <v>壮族</v>
      </c>
      <c r="E97" s="3" t="str">
        <f>"1992年11月"</f>
        <v>1992年11月</v>
      </c>
      <c r="F97" s="3" t="str">
        <f>"百色学院电子信息工程"</f>
        <v>百色学院电子信息工程</v>
      </c>
      <c r="G97" s="3" t="str">
        <f>"电子信息工程"</f>
        <v>电子信息工程</v>
      </c>
      <c r="H97" s="3" t="str">
        <f t="shared" si="32"/>
        <v>本科学士</v>
      </c>
      <c r="I97" s="3" t="str">
        <f t="shared" si="34"/>
        <v>2017.06.01</v>
      </c>
      <c r="J97" s="3" t="str">
        <f>"不是"</f>
        <v>不是</v>
      </c>
      <c r="K97" s="3" t="str">
        <f>"3:初级中学"</f>
        <v>3:初级中学</v>
      </c>
      <c r="L97" s="3" t="str">
        <f>"2017届毕业生填暂无"</f>
        <v>2017届毕业生填暂无</v>
      </c>
      <c r="M97" s="3" t="str">
        <f>"2017届毕业生填暂无"</f>
        <v>2017届毕业生填暂无</v>
      </c>
      <c r="N97" s="3" t="str">
        <f t="shared" si="22"/>
        <v>小学</v>
      </c>
      <c r="O97" s="3" t="str">
        <f t="shared" si="30"/>
        <v>110:信息技术</v>
      </c>
      <c r="P97" s="3" t="str">
        <f t="shared" si="23"/>
        <v>通过</v>
      </c>
    </row>
    <row r="98" spans="1:16" ht="42.75">
      <c r="A98" s="3" t="str">
        <f>"96"</f>
        <v>96</v>
      </c>
      <c r="B98" s="3" t="str">
        <f>"蓝妮"</f>
        <v>蓝妮</v>
      </c>
      <c r="C98" s="3" t="str">
        <f t="shared" si="33"/>
        <v>女        </v>
      </c>
      <c r="D98" s="3" t="str">
        <f t="shared" si="29"/>
        <v>壮族</v>
      </c>
      <c r="E98" s="3" t="str">
        <f>"1994年04月"</f>
        <v>1994年04月</v>
      </c>
      <c r="F98" s="3" t="str">
        <f>"百色学院物联网工程"</f>
        <v>百色学院物联网工程</v>
      </c>
      <c r="G98" s="3" t="str">
        <f>"物联网工程"</f>
        <v>物联网工程</v>
      </c>
      <c r="H98" s="3" t="str">
        <f t="shared" si="32"/>
        <v>本科学士</v>
      </c>
      <c r="I98" s="3" t="str">
        <f t="shared" si="34"/>
        <v>2017.06.01</v>
      </c>
      <c r="J98" s="3" t="str">
        <f>"不是"</f>
        <v>不是</v>
      </c>
      <c r="K98" s="3" t="str">
        <f>"3:初级中学"</f>
        <v>3:初级中学</v>
      </c>
      <c r="L98" s="3" t="str">
        <f>"暂无"</f>
        <v>暂无</v>
      </c>
      <c r="M98" s="3" t="str">
        <f>"106091201705002371"</f>
        <v>106091201705002371</v>
      </c>
      <c r="N98" s="3" t="str">
        <f t="shared" si="22"/>
        <v>小学</v>
      </c>
      <c r="O98" s="3" t="str">
        <f t="shared" si="30"/>
        <v>110:信息技术</v>
      </c>
      <c r="P98" s="3" t="str">
        <f t="shared" si="23"/>
        <v>通过</v>
      </c>
    </row>
    <row r="99" spans="1:16" ht="42.75">
      <c r="A99" s="3" t="str">
        <f>"97"</f>
        <v>97</v>
      </c>
      <c r="B99" s="3" t="str">
        <f>"罗宇云"</f>
        <v>罗宇云</v>
      </c>
      <c r="C99" s="3" t="str">
        <f t="shared" si="33"/>
        <v>女        </v>
      </c>
      <c r="D99" s="3" t="str">
        <f t="shared" si="29"/>
        <v>壮族</v>
      </c>
      <c r="E99" s="3" t="str">
        <f>"1994年08月"</f>
        <v>1994年08月</v>
      </c>
      <c r="F99" s="3" t="str">
        <f>"天津商业大学信息管理与信息系统"</f>
        <v>天津商业大学信息管理与信息系统</v>
      </c>
      <c r="G99" s="3" t="str">
        <f>"信息管理与信息系统"</f>
        <v>信息管理与信息系统</v>
      </c>
      <c r="H99" s="3" t="str">
        <f t="shared" si="32"/>
        <v>本科学士</v>
      </c>
      <c r="I99" s="3" t="str">
        <f t="shared" si="34"/>
        <v>2017.06.01</v>
      </c>
      <c r="J99" s="3" t="str">
        <f>"不是"</f>
        <v>不是</v>
      </c>
      <c r="K99" s="3" t="str">
        <f>"0:暂未取得"</f>
        <v>0:暂未取得</v>
      </c>
      <c r="L99" s="3" t="str">
        <f>"暂无"</f>
        <v>暂无</v>
      </c>
      <c r="M99" s="3" t="str">
        <f>"暂无"</f>
        <v>暂无</v>
      </c>
      <c r="N99" s="3" t="str">
        <f t="shared" si="22"/>
        <v>小学</v>
      </c>
      <c r="O99" s="3" t="str">
        <f t="shared" si="30"/>
        <v>110:信息技术</v>
      </c>
      <c r="P99" s="3" t="str">
        <f aca="true" t="shared" si="35" ref="P99:P112">"通过"</f>
        <v>通过</v>
      </c>
    </row>
    <row r="100" spans="1:16" ht="28.5">
      <c r="A100" s="3" t="str">
        <f>"98"</f>
        <v>98</v>
      </c>
      <c r="B100" s="3" t="str">
        <f>"莫冬华"</f>
        <v>莫冬华</v>
      </c>
      <c r="C100" s="3" t="str">
        <f t="shared" si="33"/>
        <v>女        </v>
      </c>
      <c r="D100" s="3" t="str">
        <f t="shared" si="29"/>
        <v>壮族</v>
      </c>
      <c r="E100" s="3" t="str">
        <f>"1992年01月"</f>
        <v>1992年01月</v>
      </c>
      <c r="F100" s="3" t="str">
        <f>"百色学院英语教育"</f>
        <v>百色学院英语教育</v>
      </c>
      <c r="G100" s="3" t="str">
        <f>"英语教育"</f>
        <v>英语教育</v>
      </c>
      <c r="H100" s="3" t="str">
        <f t="shared" si="32"/>
        <v>本科学士</v>
      </c>
      <c r="I100" s="3" t="str">
        <f>"2017.07.01"</f>
        <v>2017.07.01</v>
      </c>
      <c r="J100" s="3" t="str">
        <f>"是"</f>
        <v>是</v>
      </c>
      <c r="K100" s="3" t="str">
        <f>"4:高级中学"</f>
        <v>4:高级中学</v>
      </c>
      <c r="L100" s="3" t="str">
        <f>"暂无"</f>
        <v>暂无</v>
      </c>
      <c r="M100" s="3" t="str">
        <f>"暂无"</f>
        <v>暂无</v>
      </c>
      <c r="N100" s="3" t="str">
        <f aca="true" t="shared" si="36" ref="N100:N109">"初中"</f>
        <v>初中</v>
      </c>
      <c r="O100" s="3" t="str">
        <f>"204:英语"</f>
        <v>204:英语</v>
      </c>
      <c r="P100" s="3" t="str">
        <f t="shared" si="35"/>
        <v>通过</v>
      </c>
    </row>
    <row r="101" spans="1:16" ht="42.75">
      <c r="A101" s="3" t="str">
        <f>"99"</f>
        <v>99</v>
      </c>
      <c r="B101" s="3" t="str">
        <f>"韦崇华"</f>
        <v>韦崇华</v>
      </c>
      <c r="C101" s="3" t="str">
        <f t="shared" si="33"/>
        <v>女        </v>
      </c>
      <c r="D101" s="3" t="str">
        <f t="shared" si="29"/>
        <v>壮族</v>
      </c>
      <c r="E101" s="3" t="str">
        <f>"1987年11月"</f>
        <v>1987年11月</v>
      </c>
      <c r="F101" s="3" t="str">
        <f>"百色学院物理教育"</f>
        <v>百色学院物理教育</v>
      </c>
      <c r="G101" s="3" t="str">
        <f>"物理教育"</f>
        <v>物理教育</v>
      </c>
      <c r="H101" s="3" t="str">
        <f t="shared" si="32"/>
        <v>本科学士</v>
      </c>
      <c r="I101" s="3" t="str">
        <f>"2011.07.01"</f>
        <v>2011.07.01</v>
      </c>
      <c r="J101" s="3" t="str">
        <f>"是"</f>
        <v>是</v>
      </c>
      <c r="K101" s="3" t="str">
        <f>"4:高级中学"</f>
        <v>4:高级中学</v>
      </c>
      <c r="L101" s="3" t="str">
        <f>"20114580042000872"</f>
        <v>20114580042000872</v>
      </c>
      <c r="M101" s="3" t="str">
        <f>"106091201105000477"</f>
        <v>106091201105000477</v>
      </c>
      <c r="N101" s="3" t="str">
        <f t="shared" si="36"/>
        <v>初中</v>
      </c>
      <c r="O101" s="3" t="str">
        <f>"210:物理"</f>
        <v>210:物理</v>
      </c>
      <c r="P101" s="3" t="str">
        <f t="shared" si="35"/>
        <v>通过</v>
      </c>
    </row>
    <row r="102" spans="1:16" ht="28.5">
      <c r="A102" s="3" t="str">
        <f>"100"</f>
        <v>100</v>
      </c>
      <c r="B102" s="3" t="str">
        <f>"胡曼思"</f>
        <v>胡曼思</v>
      </c>
      <c r="C102" s="3" t="str">
        <f t="shared" si="33"/>
        <v>女        </v>
      </c>
      <c r="D102" s="3" t="str">
        <f>"汉族"</f>
        <v>汉族</v>
      </c>
      <c r="E102" s="3" t="str">
        <f>"1995年02月"</f>
        <v>1995年02月</v>
      </c>
      <c r="F102" s="3" t="str">
        <f>"百色学院物理学"</f>
        <v>百色学院物理学</v>
      </c>
      <c r="G102" s="3" t="str">
        <f>"物理学"</f>
        <v>物理学</v>
      </c>
      <c r="H102" s="3" t="str">
        <f t="shared" si="32"/>
        <v>本科学士</v>
      </c>
      <c r="I102" s="3" t="str">
        <f>"2017.06.01"</f>
        <v>2017.06.01</v>
      </c>
      <c r="J102" s="3" t="str">
        <f>"是"</f>
        <v>是</v>
      </c>
      <c r="K102" s="3" t="str">
        <f>"3:初级中学"</f>
        <v>3:初级中学</v>
      </c>
      <c r="L102" s="3" t="str">
        <f aca="true" t="shared" si="37" ref="L102:M105">"暂无"</f>
        <v>暂无</v>
      </c>
      <c r="M102" s="3" t="str">
        <f t="shared" si="37"/>
        <v>暂无</v>
      </c>
      <c r="N102" s="3" t="str">
        <f t="shared" si="36"/>
        <v>初中</v>
      </c>
      <c r="O102" s="3" t="str">
        <f>"210:物理"</f>
        <v>210:物理</v>
      </c>
      <c r="P102" s="3" t="str">
        <f t="shared" si="35"/>
        <v>通过</v>
      </c>
    </row>
    <row r="103" spans="1:16" ht="28.5">
      <c r="A103" s="3" t="str">
        <f>"101"</f>
        <v>101</v>
      </c>
      <c r="B103" s="3" t="str">
        <f>"蓝王啾"</f>
        <v>蓝王啾</v>
      </c>
      <c r="C103" s="3" t="str">
        <f t="shared" si="33"/>
        <v>女        </v>
      </c>
      <c r="D103" s="3" t="str">
        <f aca="true" t="shared" si="38" ref="D103:D112">"壮族"</f>
        <v>壮族</v>
      </c>
      <c r="E103" s="3" t="str">
        <f>"1993年03月"</f>
        <v>1993年03月</v>
      </c>
      <c r="F103" s="3" t="str">
        <f>"江西科技师范大学应用化学"</f>
        <v>江西科技师范大学应用化学</v>
      </c>
      <c r="G103" s="3" t="str">
        <f>"应用化学"</f>
        <v>应用化学</v>
      </c>
      <c r="H103" s="3" t="str">
        <f t="shared" si="32"/>
        <v>本科学士</v>
      </c>
      <c r="I103" s="3" t="str">
        <f>"2017.07.01"</f>
        <v>2017.07.01</v>
      </c>
      <c r="J103" s="3" t="str">
        <f>"不是"</f>
        <v>不是</v>
      </c>
      <c r="K103" s="3" t="str">
        <f>"4:高级中学"</f>
        <v>4:高级中学</v>
      </c>
      <c r="L103" s="3" t="str">
        <f t="shared" si="37"/>
        <v>暂无</v>
      </c>
      <c r="M103" s="3" t="str">
        <f t="shared" si="37"/>
        <v>暂无</v>
      </c>
      <c r="N103" s="3" t="str">
        <f t="shared" si="36"/>
        <v>初中</v>
      </c>
      <c r="O103" s="3" t="str">
        <f>"211:化学"</f>
        <v>211:化学</v>
      </c>
      <c r="P103" s="3" t="str">
        <f t="shared" si="35"/>
        <v>通过</v>
      </c>
    </row>
    <row r="104" spans="1:16" ht="28.5">
      <c r="A104" s="3" t="str">
        <f>"102"</f>
        <v>102</v>
      </c>
      <c r="B104" s="3" t="str">
        <f>"韦兰惠"</f>
        <v>韦兰惠</v>
      </c>
      <c r="C104" s="3" t="str">
        <f t="shared" si="33"/>
        <v>女        </v>
      </c>
      <c r="D104" s="3" t="str">
        <f t="shared" si="38"/>
        <v>壮族</v>
      </c>
      <c r="E104" s="3" t="str">
        <f>"1994年11月"</f>
        <v>1994年11月</v>
      </c>
      <c r="F104" s="3" t="str">
        <f>"广西民族师范学院化学"</f>
        <v>广西民族师范学院化学</v>
      </c>
      <c r="G104" s="3" t="str">
        <f>"化学"</f>
        <v>化学</v>
      </c>
      <c r="H104" s="3" t="str">
        <f t="shared" si="32"/>
        <v>本科学士</v>
      </c>
      <c r="I104" s="3" t="str">
        <f>"2017.07.01"</f>
        <v>2017.07.01</v>
      </c>
      <c r="J104" s="3" t="str">
        <f>"是"</f>
        <v>是</v>
      </c>
      <c r="K104" s="3" t="str">
        <f>"0:暂未取得"</f>
        <v>0:暂未取得</v>
      </c>
      <c r="L104" s="3" t="str">
        <f t="shared" si="37"/>
        <v>暂无</v>
      </c>
      <c r="M104" s="3" t="str">
        <f t="shared" si="37"/>
        <v>暂无</v>
      </c>
      <c r="N104" s="3" t="str">
        <f t="shared" si="36"/>
        <v>初中</v>
      </c>
      <c r="O104" s="3" t="str">
        <f>"211:化学"</f>
        <v>211:化学</v>
      </c>
      <c r="P104" s="3" t="str">
        <f t="shared" si="35"/>
        <v>通过</v>
      </c>
    </row>
    <row r="105" spans="1:16" ht="28.5">
      <c r="A105" s="3" t="str">
        <f>"103"</f>
        <v>103</v>
      </c>
      <c r="B105" s="3" t="str">
        <f>"韦张华"</f>
        <v>韦张华</v>
      </c>
      <c r="C105" s="3" t="str">
        <f t="shared" si="33"/>
        <v>女        </v>
      </c>
      <c r="D105" s="3" t="str">
        <f t="shared" si="38"/>
        <v>壮族</v>
      </c>
      <c r="E105" s="3" t="str">
        <f>"1992年12月"</f>
        <v>1992年12月</v>
      </c>
      <c r="F105" s="3" t="str">
        <f>"广西民族师范学院化学教育"</f>
        <v>广西民族师范学院化学教育</v>
      </c>
      <c r="G105" s="3" t="str">
        <f>"化学教育"</f>
        <v>化学教育</v>
      </c>
      <c r="H105" s="3" t="str">
        <f t="shared" si="32"/>
        <v>本科学士</v>
      </c>
      <c r="I105" s="3" t="str">
        <f>"2017.06.01"</f>
        <v>2017.06.01</v>
      </c>
      <c r="J105" s="3" t="str">
        <f>"是"</f>
        <v>是</v>
      </c>
      <c r="K105" s="3" t="str">
        <f>"4:高级中学"</f>
        <v>4:高级中学</v>
      </c>
      <c r="L105" s="3" t="str">
        <f t="shared" si="37"/>
        <v>暂无</v>
      </c>
      <c r="M105" s="3" t="str">
        <f t="shared" si="37"/>
        <v>暂无</v>
      </c>
      <c r="N105" s="3" t="str">
        <f t="shared" si="36"/>
        <v>初中</v>
      </c>
      <c r="O105" s="3" t="str">
        <f>"211:化学"</f>
        <v>211:化学</v>
      </c>
      <c r="P105" s="3" t="str">
        <f t="shared" si="35"/>
        <v>通过</v>
      </c>
    </row>
    <row r="106" spans="1:16" ht="42.75">
      <c r="A106" s="3" t="str">
        <f>"104"</f>
        <v>104</v>
      </c>
      <c r="B106" s="3" t="str">
        <f>"蓝雅露"</f>
        <v>蓝雅露</v>
      </c>
      <c r="C106" s="3" t="str">
        <f t="shared" si="33"/>
        <v>女        </v>
      </c>
      <c r="D106" s="3" t="str">
        <f t="shared" si="38"/>
        <v>壮族</v>
      </c>
      <c r="E106" s="3" t="str">
        <f>"1988年12月"</f>
        <v>1988年12月</v>
      </c>
      <c r="F106" s="3" t="str">
        <f>"盐城师范学院化学"</f>
        <v>盐城师范学院化学</v>
      </c>
      <c r="G106" s="3" t="str">
        <f>"化学"</f>
        <v>化学</v>
      </c>
      <c r="H106" s="3" t="str">
        <f t="shared" si="32"/>
        <v>本科学士</v>
      </c>
      <c r="I106" s="3" t="str">
        <f>"2015.06.01"</f>
        <v>2015.06.01</v>
      </c>
      <c r="J106" s="3" t="str">
        <f>"是"</f>
        <v>是</v>
      </c>
      <c r="K106" s="3" t="str">
        <f>"4:高级中学"</f>
        <v>4:高级中学</v>
      </c>
      <c r="L106" s="3" t="str">
        <f>"20153233142000237"</f>
        <v>20153233142000237</v>
      </c>
      <c r="M106" s="3" t="str">
        <f>"103241201505002395"</f>
        <v>103241201505002395</v>
      </c>
      <c r="N106" s="3" t="str">
        <f t="shared" si="36"/>
        <v>初中</v>
      </c>
      <c r="O106" s="3" t="str">
        <f>"211:化学"</f>
        <v>211:化学</v>
      </c>
      <c r="P106" s="3" t="str">
        <f t="shared" si="35"/>
        <v>通过</v>
      </c>
    </row>
    <row r="107" spans="1:16" ht="57">
      <c r="A107" s="3" t="str">
        <f>"105"</f>
        <v>105</v>
      </c>
      <c r="B107" s="3" t="str">
        <f>"黄若林"</f>
        <v>黄若林</v>
      </c>
      <c r="C107" s="3" t="str">
        <f>"男        "</f>
        <v>男        </v>
      </c>
      <c r="D107" s="3" t="str">
        <f t="shared" si="38"/>
        <v>壮族</v>
      </c>
      <c r="E107" s="3" t="str">
        <f>"1988年05月"</f>
        <v>1988年05月</v>
      </c>
      <c r="F107" s="3" t="str">
        <f>"广西大学化学"</f>
        <v>广西大学化学</v>
      </c>
      <c r="G107" s="3" t="str">
        <f>"化学"</f>
        <v>化学</v>
      </c>
      <c r="H107" s="3" t="str">
        <f t="shared" si="32"/>
        <v>本科学士</v>
      </c>
      <c r="I107" s="3" t="str">
        <f>"2014.06.01"</f>
        <v>2014.06.01</v>
      </c>
      <c r="J107" s="3" t="str">
        <f>"不是"</f>
        <v>不是</v>
      </c>
      <c r="K107" s="3" t="str">
        <f>"4:高级中学"</f>
        <v>4:高级中学</v>
      </c>
      <c r="L107" s="3" t="str">
        <f>"正在申报，7月12日可拿到证"</f>
        <v>正在申报，7月12日可拿到证</v>
      </c>
      <c r="M107" s="3" t="str">
        <f>"105931201405001223"</f>
        <v>105931201405001223</v>
      </c>
      <c r="N107" s="3" t="str">
        <f t="shared" si="36"/>
        <v>初中</v>
      </c>
      <c r="O107" s="3" t="str">
        <f>"211:化学"</f>
        <v>211:化学</v>
      </c>
      <c r="P107" s="3" t="str">
        <f t="shared" si="35"/>
        <v>通过</v>
      </c>
    </row>
    <row r="108" spans="1:16" ht="42.75">
      <c r="A108" s="3" t="str">
        <f>"107"</f>
        <v>107</v>
      </c>
      <c r="B108" s="3" t="str">
        <f>"蓝莹"</f>
        <v>蓝莹</v>
      </c>
      <c r="C108" s="3" t="str">
        <f>"女        "</f>
        <v>女        </v>
      </c>
      <c r="D108" s="3" t="str">
        <f t="shared" si="38"/>
        <v>壮族</v>
      </c>
      <c r="E108" s="3" t="str">
        <f>"1988年04月"</f>
        <v>1988年04月</v>
      </c>
      <c r="F108" s="3" t="str">
        <f>"钦州学院艺术设计"</f>
        <v>钦州学院艺术设计</v>
      </c>
      <c r="G108" s="3" t="str">
        <f>"艺术设计"</f>
        <v>艺术设计</v>
      </c>
      <c r="H108" s="3" t="str">
        <f t="shared" si="32"/>
        <v>本科学士</v>
      </c>
      <c r="I108" s="3" t="str">
        <f>"2011.06.01"</f>
        <v>2011.06.01</v>
      </c>
      <c r="J108" s="3" t="str">
        <f>"不是"</f>
        <v>不是</v>
      </c>
      <c r="K108" s="3" t="str">
        <f>"4:高级中学"</f>
        <v>4:高级中学</v>
      </c>
      <c r="L108" s="3" t="str">
        <f>"20114570042000077"</f>
        <v>20114570042000077</v>
      </c>
      <c r="M108" s="3" t="str">
        <f>"116071201105001174"</f>
        <v>116071201105001174</v>
      </c>
      <c r="N108" s="3" t="str">
        <f t="shared" si="36"/>
        <v>初中</v>
      </c>
      <c r="O108" s="3" t="str">
        <f>"214:美术"</f>
        <v>214:美术</v>
      </c>
      <c r="P108" s="3" t="str">
        <f t="shared" si="35"/>
        <v>通过</v>
      </c>
    </row>
    <row r="109" spans="1:16" ht="28.5">
      <c r="A109" s="3" t="str">
        <f>"108"</f>
        <v>108</v>
      </c>
      <c r="B109" s="3" t="str">
        <f>"蔡俏灵"</f>
        <v>蔡俏灵</v>
      </c>
      <c r="C109" s="3" t="str">
        <f>"女        "</f>
        <v>女        </v>
      </c>
      <c r="D109" s="3" t="str">
        <f t="shared" si="38"/>
        <v>壮族</v>
      </c>
      <c r="E109" s="3" t="str">
        <f>"1993年07月"</f>
        <v>1993年07月</v>
      </c>
      <c r="F109" s="3" t="str">
        <f>"钦州学院环境设计"</f>
        <v>钦州学院环境设计</v>
      </c>
      <c r="G109" s="3" t="str">
        <f>"环境设计"</f>
        <v>环境设计</v>
      </c>
      <c r="H109" s="3" t="str">
        <f t="shared" si="32"/>
        <v>本科学士</v>
      </c>
      <c r="I109" s="3" t="str">
        <f>"2017.06.01"</f>
        <v>2017.06.01</v>
      </c>
      <c r="J109" s="3" t="str">
        <f>"不是"</f>
        <v>不是</v>
      </c>
      <c r="K109" s="3" t="str">
        <f>"3:初级中学"</f>
        <v>3:初级中学</v>
      </c>
      <c r="L109" s="3" t="str">
        <f>"暂无"</f>
        <v>暂无</v>
      </c>
      <c r="M109" s="3" t="str">
        <f>"暂无"</f>
        <v>暂无</v>
      </c>
      <c r="N109" s="3" t="str">
        <f t="shared" si="36"/>
        <v>初中</v>
      </c>
      <c r="O109" s="3" t="str">
        <f>"214:美术"</f>
        <v>214:美术</v>
      </c>
      <c r="P109" s="3" t="str">
        <f t="shared" si="35"/>
        <v>通过</v>
      </c>
    </row>
    <row r="110" spans="1:16" ht="71.25">
      <c r="A110" s="3" t="str">
        <f>"109"</f>
        <v>109</v>
      </c>
      <c r="B110" s="3" t="str">
        <f>"陈俊妃"</f>
        <v>陈俊妃</v>
      </c>
      <c r="C110" s="3" t="str">
        <f>"女        "</f>
        <v>女        </v>
      </c>
      <c r="D110" s="3" t="str">
        <f t="shared" si="38"/>
        <v>壮族</v>
      </c>
      <c r="E110" s="3" t="str">
        <f>"1994年06月"</f>
        <v>1994年06月</v>
      </c>
      <c r="F110" s="3" t="str">
        <f>"河池学院音乐学"</f>
        <v>河池学院音乐学</v>
      </c>
      <c r="G110" s="3" t="str">
        <f>"音乐学"</f>
        <v>音乐学</v>
      </c>
      <c r="H110" s="3" t="str">
        <f t="shared" si="32"/>
        <v>本科学士</v>
      </c>
      <c r="I110" s="3" t="str">
        <f>"2017.06.01"</f>
        <v>2017.06.01</v>
      </c>
      <c r="J110" s="3" t="str">
        <f>"不是"</f>
        <v>不是</v>
      </c>
      <c r="K110" s="3" t="str">
        <f>"4:高级中学"</f>
        <v>4:高级中学</v>
      </c>
      <c r="L110" s="3" t="str">
        <f>"2017454019554"</f>
        <v>2017454019554</v>
      </c>
      <c r="M110" s="3" t="str">
        <f>"无"</f>
        <v>无</v>
      </c>
      <c r="N110" s="3" t="str">
        <f>"中等职业学校"</f>
        <v>中等职业学校</v>
      </c>
      <c r="O110" s="3" t="str">
        <f>"468:艺术类（音乐、美术、舞蹈、乐器演奏）"</f>
        <v>468:艺术类（音乐、美术、舞蹈、乐器演奏）</v>
      </c>
      <c r="P110" s="3" t="str">
        <f t="shared" si="35"/>
        <v>通过</v>
      </c>
    </row>
    <row r="111" spans="1:16" ht="71.25">
      <c r="A111" s="3" t="str">
        <f>"110"</f>
        <v>110</v>
      </c>
      <c r="B111" s="3" t="str">
        <f>"韦武恩"</f>
        <v>韦武恩</v>
      </c>
      <c r="C111" s="3" t="str">
        <f>"男        "</f>
        <v>男        </v>
      </c>
      <c r="D111" s="3" t="str">
        <f t="shared" si="38"/>
        <v>壮族</v>
      </c>
      <c r="E111" s="3" t="str">
        <f>"1990年01月"</f>
        <v>1990年01月</v>
      </c>
      <c r="F111" s="3" t="str">
        <f>"广西艺术学院美术教育"</f>
        <v>广西艺术学院美术教育</v>
      </c>
      <c r="G111" s="3" t="str">
        <f>"美术教育"</f>
        <v>美术教育</v>
      </c>
      <c r="H111" s="3" t="str">
        <f t="shared" si="32"/>
        <v>本科学士</v>
      </c>
      <c r="I111" s="3" t="str">
        <f>"2014.04.01"</f>
        <v>2014.04.01</v>
      </c>
      <c r="J111" s="3" t="str">
        <f>"是"</f>
        <v>是</v>
      </c>
      <c r="K111" s="3" t="str">
        <f>"4:高级中学"</f>
        <v>4:高级中学</v>
      </c>
      <c r="L111" s="3" t="str">
        <f>"20144501041000348"</f>
        <v>20144501041000348</v>
      </c>
      <c r="M111" s="3" t="str">
        <f>"106071201405001283"</f>
        <v>106071201405001283</v>
      </c>
      <c r="N111" s="3" t="str">
        <f>"中等职业学校"</f>
        <v>中等职业学校</v>
      </c>
      <c r="O111" s="3" t="str">
        <f>"468:艺术类（音乐、美术、舞蹈、乐器演奏）"</f>
        <v>468:艺术类（音乐、美术、舞蹈、乐器演奏）</v>
      </c>
      <c r="P111" s="3" t="str">
        <f t="shared" si="35"/>
        <v>通过</v>
      </c>
    </row>
    <row r="112" spans="1:16" ht="71.25">
      <c r="A112" s="3" t="str">
        <f>"111"</f>
        <v>111</v>
      </c>
      <c r="B112" s="3" t="str">
        <f>"覃钰绚"</f>
        <v>覃钰绚</v>
      </c>
      <c r="C112" s="3" t="str">
        <f>"女        "</f>
        <v>女        </v>
      </c>
      <c r="D112" s="3" t="str">
        <f t="shared" si="38"/>
        <v>壮族</v>
      </c>
      <c r="E112" s="3" t="str">
        <f>"1991年12月"</f>
        <v>1991年12月</v>
      </c>
      <c r="F112" s="3" t="str">
        <f>"广西师范学院师园学院音乐学"</f>
        <v>广西师范学院师园学院音乐学</v>
      </c>
      <c r="G112" s="3" t="str">
        <f>"音乐学"</f>
        <v>音乐学</v>
      </c>
      <c r="H112" s="3" t="str">
        <f t="shared" si="32"/>
        <v>本科学士</v>
      </c>
      <c r="I112" s="3" t="str">
        <f>"2014.06.01"</f>
        <v>2014.06.01</v>
      </c>
      <c r="J112" s="3" t="str">
        <f>"是"</f>
        <v>是</v>
      </c>
      <c r="K112" s="3" t="str">
        <f>"4:高级中学"</f>
        <v>4:高级中学</v>
      </c>
      <c r="L112" s="3" t="str">
        <f>"20144501042000960"</f>
        <v>20144501042000960</v>
      </c>
      <c r="M112" s="3" t="str">
        <f>"136421201405001057"</f>
        <v>136421201405001057</v>
      </c>
      <c r="N112" s="3" t="str">
        <f>"中等职业学校"</f>
        <v>中等职业学校</v>
      </c>
      <c r="O112" s="3" t="str">
        <f>"468:艺术类（音乐、美术、舞蹈、乐器演奏）"</f>
        <v>468:艺术类（音乐、美术、舞蹈、乐器演奏）</v>
      </c>
      <c r="P112" s="3" t="str">
        <f t="shared" si="35"/>
        <v>通过</v>
      </c>
    </row>
  </sheetData>
  <mergeCells count="1">
    <mergeCell ref="A1:P1"/>
  </mergeCells>
  <printOptions horizontalCentered="1"/>
  <pageMargins left="0.5511811023622047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2017-07-01T02:11:08Z</cp:lastPrinted>
  <dcterms:created xsi:type="dcterms:W3CDTF">2017-06-28T09:36:38Z</dcterms:created>
  <dcterms:modified xsi:type="dcterms:W3CDTF">2017-07-01T02:11:26Z</dcterms:modified>
  <cp:category/>
  <cp:version/>
  <cp:contentType/>
  <cp:contentStatus/>
</cp:coreProperties>
</file>