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3580" windowHeight="832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Sheet1!$A$2:$G$2</definedName>
  </definedNames>
  <calcPr calcId="144525"/>
</workbook>
</file>

<file path=xl/calcChain.xml><?xml version="1.0" encoding="utf-8"?>
<calcChain xmlns="http://schemas.openxmlformats.org/spreadsheetml/2006/main">
  <c r="E795" i="1" l="1"/>
  <c r="E794" i="1"/>
  <c r="E792" i="1"/>
  <c r="E791" i="1"/>
  <c r="E790" i="1"/>
  <c r="E789" i="1"/>
  <c r="E788" i="1"/>
  <c r="E787" i="1"/>
  <c r="E782" i="1"/>
  <c r="E780" i="1"/>
  <c r="E778" i="1"/>
  <c r="E775" i="1"/>
  <c r="E770" i="1"/>
  <c r="E769" i="1"/>
  <c r="E768" i="1"/>
  <c r="E766" i="1"/>
  <c r="E765" i="1"/>
  <c r="E762" i="1"/>
  <c r="E761" i="1"/>
  <c r="E759" i="1"/>
  <c r="E757" i="1"/>
  <c r="E754" i="1"/>
  <c r="E753" i="1"/>
  <c r="E751" i="1"/>
  <c r="E749" i="1"/>
  <c r="E748" i="1"/>
  <c r="E746" i="1"/>
  <c r="E745" i="1"/>
  <c r="E744" i="1"/>
  <c r="E742" i="1"/>
  <c r="E741" i="1"/>
  <c r="E740" i="1"/>
  <c r="E738" i="1"/>
  <c r="E737" i="1"/>
  <c r="E736" i="1"/>
  <c r="E733" i="1"/>
  <c r="E722" i="1"/>
  <c r="E721" i="1"/>
  <c r="E720" i="1"/>
  <c r="E718" i="1"/>
  <c r="E717" i="1"/>
  <c r="E710" i="1"/>
  <c r="E706" i="1"/>
  <c r="E704" i="1"/>
  <c r="E701" i="1"/>
  <c r="E699" i="1"/>
  <c r="E697" i="1"/>
  <c r="E696" i="1"/>
  <c r="E694" i="1"/>
  <c r="E693" i="1"/>
  <c r="E689" i="1"/>
  <c r="E688" i="1"/>
  <c r="E685" i="1"/>
  <c r="E683" i="1"/>
  <c r="E682" i="1"/>
  <c r="E679" i="1"/>
  <c r="E676" i="1"/>
  <c r="E675" i="1"/>
  <c r="E674" i="1"/>
  <c r="E673" i="1"/>
  <c r="E671" i="1"/>
  <c r="E669" i="1"/>
  <c r="E667" i="1"/>
  <c r="E664" i="1"/>
  <c r="E662" i="1"/>
  <c r="E661" i="1"/>
  <c r="E659" i="1"/>
  <c r="E657" i="1"/>
  <c r="E654" i="1"/>
  <c r="E651" i="1"/>
  <c r="E650" i="1"/>
  <c r="E647" i="1"/>
  <c r="E646" i="1"/>
  <c r="E644" i="1"/>
  <c r="E642" i="1"/>
  <c r="E640" i="1"/>
  <c r="E637" i="1"/>
  <c r="E633" i="1"/>
  <c r="E631" i="1"/>
  <c r="E629" i="1"/>
  <c r="E627" i="1"/>
  <c r="E626" i="1"/>
  <c r="E623" i="1"/>
  <c r="E622" i="1"/>
  <c r="E619" i="1"/>
  <c r="E618" i="1"/>
  <c r="E616" i="1"/>
  <c r="E607" i="1"/>
  <c r="E606" i="1"/>
  <c r="E605" i="1"/>
  <c r="E602" i="1"/>
  <c r="E599" i="1"/>
  <c r="E598" i="1"/>
  <c r="E595" i="1"/>
  <c r="E594" i="1"/>
  <c r="E589" i="1"/>
  <c r="E588" i="1"/>
  <c r="E582" i="1"/>
  <c r="E581" i="1"/>
  <c r="E579" i="1"/>
  <c r="E578" i="1"/>
  <c r="E576" i="1"/>
  <c r="E573" i="1"/>
  <c r="E571" i="1"/>
  <c r="E569" i="1"/>
  <c r="E568" i="1"/>
  <c r="E566" i="1"/>
  <c r="E565" i="1"/>
  <c r="E560" i="1"/>
  <c r="E559" i="1"/>
  <c r="E558" i="1"/>
  <c r="E552" i="1"/>
  <c r="E551" i="1"/>
  <c r="E550" i="1"/>
  <c r="E545" i="1"/>
  <c r="E537" i="1"/>
  <c r="E535" i="1"/>
  <c r="E533" i="1"/>
  <c r="E530" i="1"/>
  <c r="E528" i="1"/>
  <c r="E525" i="1"/>
  <c r="E521" i="1"/>
  <c r="E518" i="1"/>
  <c r="E516" i="1"/>
  <c r="E514" i="1"/>
  <c r="E512" i="1"/>
  <c r="E510" i="1"/>
  <c r="E508" i="1"/>
  <c r="E506" i="1"/>
  <c r="E500" i="1"/>
  <c r="E497" i="1"/>
  <c r="E492" i="1"/>
  <c r="E487" i="1"/>
  <c r="E486" i="1"/>
  <c r="E484" i="1"/>
  <c r="E483" i="1"/>
  <c r="E481" i="1"/>
  <c r="E478" i="1"/>
  <c r="E477" i="1"/>
  <c r="E476" i="1"/>
  <c r="E475" i="1"/>
  <c r="E474" i="1"/>
  <c r="E473" i="1"/>
  <c r="E472" i="1"/>
  <c r="E469" i="1"/>
  <c r="E468" i="1"/>
  <c r="E467" i="1"/>
  <c r="E464" i="1"/>
  <c r="E463" i="1"/>
  <c r="E460" i="1"/>
  <c r="E457" i="1"/>
  <c r="E456" i="1"/>
  <c r="E454" i="1"/>
  <c r="E452" i="1"/>
  <c r="E451" i="1"/>
  <c r="E448" i="1"/>
  <c r="E447" i="1"/>
  <c r="E446" i="1"/>
  <c r="E444" i="1"/>
  <c r="E443" i="1"/>
  <c r="E442" i="1"/>
  <c r="E441" i="1"/>
  <c r="E439" i="1"/>
  <c r="E438" i="1"/>
  <c r="E435" i="1"/>
  <c r="E433" i="1"/>
  <c r="E432" i="1"/>
  <c r="E431" i="1"/>
  <c r="E429" i="1"/>
  <c r="E428" i="1"/>
  <c r="E427" i="1"/>
  <c r="E426" i="1"/>
  <c r="E425" i="1"/>
  <c r="E424" i="1"/>
  <c r="E422" i="1"/>
  <c r="E421" i="1"/>
  <c r="E420" i="1"/>
  <c r="E419" i="1"/>
  <c r="E418" i="1"/>
  <c r="E416" i="1"/>
  <c r="E415" i="1"/>
  <c r="E414" i="1"/>
  <c r="E411" i="1"/>
  <c r="E404" i="1"/>
  <c r="E401" i="1"/>
  <c r="E397" i="1"/>
  <c r="E396" i="1"/>
  <c r="E392" i="1"/>
  <c r="E391" i="1"/>
  <c r="E390" i="1"/>
  <c r="E389" i="1"/>
  <c r="E388" i="1"/>
  <c r="E387" i="1"/>
  <c r="E385" i="1"/>
  <c r="E382" i="1"/>
  <c r="E381" i="1"/>
  <c r="E379" i="1"/>
  <c r="E376" i="1"/>
  <c r="E375" i="1"/>
  <c r="E372" i="1"/>
  <c r="E371" i="1"/>
  <c r="E370" i="1"/>
  <c r="E361" i="1"/>
  <c r="E360" i="1"/>
  <c r="E359" i="1"/>
  <c r="E355" i="1"/>
  <c r="E352" i="1"/>
  <c r="E350" i="1"/>
  <c r="E349" i="1"/>
  <c r="E343" i="1"/>
  <c r="E337" i="1"/>
  <c r="E335" i="1"/>
  <c r="E333" i="1"/>
  <c r="E328" i="1"/>
  <c r="E327" i="1"/>
  <c r="E326" i="1"/>
  <c r="E325" i="1"/>
  <c r="E324" i="1"/>
  <c r="E323" i="1"/>
  <c r="E321" i="1"/>
  <c r="E317" i="1"/>
  <c r="E315" i="1"/>
  <c r="E314" i="1"/>
  <c r="E313" i="1"/>
  <c r="E312" i="1"/>
  <c r="E309" i="1"/>
  <c r="E303" i="1"/>
  <c r="E300" i="1"/>
  <c r="E292" i="1"/>
  <c r="E290" i="1"/>
  <c r="E288" i="1"/>
  <c r="E287" i="1"/>
  <c r="E286" i="1"/>
  <c r="E284" i="1"/>
  <c r="E283" i="1"/>
  <c r="E282" i="1"/>
  <c r="E281" i="1"/>
  <c r="E280" i="1"/>
  <c r="E279" i="1"/>
  <c r="E278" i="1"/>
  <c r="E277" i="1"/>
  <c r="E275" i="1"/>
  <c r="E274" i="1"/>
  <c r="E272" i="1"/>
  <c r="E271" i="1"/>
  <c r="E268" i="1"/>
  <c r="E267" i="1"/>
  <c r="E263" i="1"/>
  <c r="E260" i="1"/>
  <c r="E259" i="1"/>
  <c r="E257" i="1"/>
  <c r="E255" i="1"/>
  <c r="E254" i="1"/>
  <c r="E253" i="1"/>
  <c r="E252" i="1"/>
  <c r="E250" i="1"/>
  <c r="E248" i="1"/>
  <c r="E247" i="1"/>
  <c r="E245" i="1"/>
  <c r="E240" i="1"/>
  <c r="E238" i="1"/>
  <c r="E236" i="1"/>
  <c r="E234" i="1"/>
  <c r="E233" i="1"/>
  <c r="E230" i="1"/>
  <c r="E229" i="1"/>
  <c r="E227" i="1"/>
  <c r="E226" i="1"/>
  <c r="E225" i="1"/>
  <c r="E223" i="1"/>
  <c r="E222" i="1"/>
  <c r="E221" i="1"/>
  <c r="E216" i="1"/>
  <c r="E215" i="1"/>
  <c r="E214" i="1"/>
  <c r="E211" i="1"/>
  <c r="E210" i="1"/>
  <c r="E208" i="1"/>
  <c r="E204" i="1"/>
  <c r="E203" i="1"/>
  <c r="E202" i="1"/>
  <c r="E198" i="1"/>
  <c r="E196" i="1"/>
  <c r="E193" i="1"/>
  <c r="E188" i="1"/>
  <c r="E184" i="1"/>
  <c r="E182" i="1"/>
  <c r="E181" i="1"/>
  <c r="E180" i="1"/>
  <c r="E179" i="1"/>
  <c r="E178" i="1"/>
  <c r="E176" i="1"/>
  <c r="E175" i="1"/>
  <c r="E173" i="1"/>
  <c r="E168" i="1"/>
  <c r="E167" i="1"/>
  <c r="E166" i="1"/>
  <c r="E165" i="1"/>
  <c r="E160" i="1"/>
  <c r="E156" i="1"/>
  <c r="E155" i="1"/>
  <c r="E152" i="1"/>
  <c r="E151" i="1"/>
  <c r="E150" i="1"/>
  <c r="E149" i="1"/>
  <c r="E147" i="1"/>
  <c r="E146" i="1"/>
  <c r="E145" i="1"/>
  <c r="E144" i="1"/>
  <c r="E143" i="1"/>
  <c r="E139" i="1"/>
  <c r="E138" i="1"/>
  <c r="E137" i="1"/>
  <c r="E136" i="1"/>
  <c r="E134" i="1"/>
  <c r="E133" i="1"/>
  <c r="E131" i="1"/>
  <c r="E130" i="1"/>
  <c r="E128" i="1"/>
  <c r="E127" i="1"/>
  <c r="E126" i="1"/>
  <c r="E125" i="1"/>
  <c r="E124" i="1"/>
  <c r="E123" i="1"/>
  <c r="E121" i="1"/>
  <c r="E118" i="1"/>
  <c r="E117" i="1"/>
  <c r="E116" i="1"/>
  <c r="E115" i="1"/>
  <c r="E111" i="1"/>
  <c r="E107" i="1"/>
  <c r="E106" i="1"/>
  <c r="E105" i="1"/>
  <c r="E102" i="1"/>
  <c r="E100" i="1"/>
  <c r="E99" i="1"/>
  <c r="E98" i="1"/>
  <c r="E97" i="1"/>
  <c r="E94" i="1"/>
  <c r="E92" i="1"/>
  <c r="E87" i="1"/>
  <c r="E85" i="1"/>
  <c r="E83" i="1"/>
  <c r="E79" i="1"/>
  <c r="E77" i="1"/>
  <c r="E74" i="1"/>
  <c r="E70" i="1"/>
  <c r="E69" i="1"/>
  <c r="E68" i="1"/>
  <c r="E67" i="1"/>
  <c r="E66" i="1"/>
  <c r="E64" i="1"/>
  <c r="E62" i="1"/>
  <c r="E61" i="1"/>
  <c r="E60" i="1"/>
  <c r="E57" i="1"/>
  <c r="E56" i="1"/>
  <c r="E55" i="1"/>
  <c r="E54" i="1"/>
  <c r="E53" i="1"/>
  <c r="E50" i="1"/>
  <c r="E48" i="1"/>
  <c r="E46" i="1"/>
  <c r="E45" i="1"/>
  <c r="E43" i="1"/>
  <c r="E42" i="1"/>
  <c r="E41" i="1"/>
  <c r="E40" i="1"/>
  <c r="E39" i="1"/>
  <c r="E38" i="1"/>
  <c r="E37" i="1"/>
  <c r="E35" i="1"/>
  <c r="E33" i="1"/>
  <c r="E31" i="1"/>
  <c r="E27" i="1"/>
  <c r="E24" i="1"/>
  <c r="E23" i="1"/>
  <c r="E20" i="1"/>
  <c r="E18" i="1"/>
  <c r="E17" i="1"/>
  <c r="E15" i="1"/>
  <c r="E12" i="1"/>
  <c r="E11" i="1"/>
  <c r="E10" i="1"/>
  <c r="E7" i="1"/>
  <c r="E4" i="1"/>
  <c r="E3" i="1"/>
  <c r="E122" i="1"/>
  <c r="B218" i="1"/>
  <c r="D795" i="1" l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G515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G508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D5" i="1"/>
  <c r="C5" i="1"/>
  <c r="B5" i="1"/>
  <c r="D4" i="1"/>
  <c r="C4" i="1"/>
  <c r="B4" i="1"/>
  <c r="D3" i="1"/>
  <c r="C3" i="1"/>
  <c r="B3" i="1"/>
</calcChain>
</file>

<file path=xl/sharedStrings.xml><?xml version="1.0" encoding="utf-8"?>
<sst xmlns="http://schemas.openxmlformats.org/spreadsheetml/2006/main" count="1221" uniqueCount="24">
  <si>
    <t>姓名</t>
  </si>
  <si>
    <t>性别</t>
  </si>
  <si>
    <t>毕业学校</t>
  </si>
  <si>
    <t>所报岗位</t>
    <phoneticPr fontId="1" type="noConversion"/>
  </si>
  <si>
    <t>小学语文教师</t>
    <phoneticPr fontId="1" type="noConversion"/>
  </si>
  <si>
    <t>小学数学教师</t>
    <phoneticPr fontId="1" type="noConversion"/>
  </si>
  <si>
    <t>小学英语教师</t>
    <phoneticPr fontId="1" type="noConversion"/>
  </si>
  <si>
    <t>小学体育教师</t>
    <phoneticPr fontId="1" type="noConversion"/>
  </si>
  <si>
    <t>小学音乐教师</t>
    <phoneticPr fontId="1" type="noConversion"/>
  </si>
  <si>
    <t>小学信息技术教师</t>
    <phoneticPr fontId="1" type="noConversion"/>
  </si>
  <si>
    <t>专科</t>
    <phoneticPr fontId="1" type="noConversion"/>
  </si>
  <si>
    <t>农秋妮</t>
  </si>
  <si>
    <t xml:space="preserve">女        </t>
  </si>
  <si>
    <t>广西教育学院初等教育</t>
  </si>
  <si>
    <t>李茸</t>
  </si>
  <si>
    <t>德宏师范高等专科学校初等教育</t>
  </si>
  <si>
    <t>高开兵</t>
  </si>
  <si>
    <t xml:space="preserve">男        </t>
  </si>
  <si>
    <t>德宏师范高等专科学校数学教育</t>
  </si>
  <si>
    <t>专科</t>
    <phoneticPr fontId="1" type="noConversion"/>
  </si>
  <si>
    <t>备注</t>
    <phoneticPr fontId="1" type="noConversion"/>
  </si>
  <si>
    <t>序号</t>
    <phoneticPr fontId="1" type="noConversion"/>
  </si>
  <si>
    <t>学历</t>
    <phoneticPr fontId="1" type="noConversion"/>
  </si>
  <si>
    <r>
      <rPr>
        <b/>
        <sz val="16"/>
        <color theme="1"/>
        <rFont val="宋体"/>
        <family val="3"/>
        <charset val="134"/>
        <scheme val="minor"/>
      </rPr>
      <t>2018年田东县招聘特岗教师“网上报名资格审核通过”人员公示</t>
    </r>
    <r>
      <rPr>
        <sz val="16"/>
        <color theme="1"/>
        <rFont val="宋体"/>
        <family val="2"/>
        <charset val="134"/>
        <scheme val="minor"/>
      </rPr>
      <t xml:space="preserve">
（资格复核及面试事项另行通过）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</si>
</sst>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6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8"/>
  <sheetViews>
    <sheetView tabSelected="1" workbookViewId="0">
      <selection activeCell="J7" sqref="J7"/>
    </sheetView>
  </sheetViews>
  <sheetFormatPr defaultRowHeight="13.5" x14ac:dyDescent="0.15"/>
  <cols>
    <col min="1" max="1" width="4.875" style="1" customWidth="1"/>
    <col min="2" max="2" width="7.875" customWidth="1"/>
    <col min="3" max="3" width="3.5" customWidth="1"/>
    <col min="4" max="4" width="36.75" customWidth="1"/>
    <col min="5" max="5" width="5.125" customWidth="1"/>
    <col min="6" max="6" width="18.125" customWidth="1"/>
  </cols>
  <sheetData>
    <row r="1" spans="1:7" ht="50.25" customHeight="1" x14ac:dyDescent="0.15">
      <c r="A1" s="7" t="s">
        <v>23</v>
      </c>
      <c r="B1" s="6"/>
      <c r="C1" s="6"/>
      <c r="D1" s="6"/>
      <c r="E1" s="6"/>
      <c r="F1" s="6"/>
      <c r="G1" s="6"/>
    </row>
    <row r="2" spans="1:7" ht="16.5" customHeight="1" x14ac:dyDescent="0.15">
      <c r="A2" s="4" t="s">
        <v>21</v>
      </c>
      <c r="B2" s="5" t="s">
        <v>0</v>
      </c>
      <c r="C2" s="5" t="s">
        <v>1</v>
      </c>
      <c r="D2" s="5" t="s">
        <v>2</v>
      </c>
      <c r="E2" s="5" t="s">
        <v>22</v>
      </c>
      <c r="F2" s="5" t="s">
        <v>3</v>
      </c>
      <c r="G2" s="5" t="s">
        <v>20</v>
      </c>
    </row>
    <row r="3" spans="1:7" x14ac:dyDescent="0.15">
      <c r="A3" s="2">
        <v>1</v>
      </c>
      <c r="B3" s="3" t="str">
        <f>"马海珍"</f>
        <v>马海珍</v>
      </c>
      <c r="C3" s="3" t="str">
        <f t="shared" ref="C3:C10" si="0">"女        "</f>
        <v xml:space="preserve">女        </v>
      </c>
      <c r="D3" s="3" t="str">
        <f>"广西师范大学工商管理"</f>
        <v>广西师范大学工商管理</v>
      </c>
      <c r="E3" s="3" t="str">
        <f>"本科"</f>
        <v>本科</v>
      </c>
      <c r="F3" s="3" t="s">
        <v>5</v>
      </c>
      <c r="G3" s="3"/>
    </row>
    <row r="4" spans="1:7" x14ac:dyDescent="0.15">
      <c r="A4" s="2">
        <v>2</v>
      </c>
      <c r="B4" s="3" t="str">
        <f>"韩永琼"</f>
        <v>韩永琼</v>
      </c>
      <c r="C4" s="3" t="str">
        <f t="shared" si="0"/>
        <v xml:space="preserve">女        </v>
      </c>
      <c r="D4" s="3" t="str">
        <f>"楚雄师范学院公共事业管理"</f>
        <v>楚雄师范学院公共事业管理</v>
      </c>
      <c r="E4" s="3" t="str">
        <f>"本科"</f>
        <v>本科</v>
      </c>
      <c r="F4" s="3" t="s">
        <v>4</v>
      </c>
      <c r="G4" s="3"/>
    </row>
    <row r="5" spans="1:7" x14ac:dyDescent="0.15">
      <c r="A5" s="2">
        <v>3</v>
      </c>
      <c r="B5" s="3" t="str">
        <f>"蔡茂艳"</f>
        <v>蔡茂艳</v>
      </c>
      <c r="C5" s="3" t="str">
        <f t="shared" si="0"/>
        <v xml:space="preserve">女        </v>
      </c>
      <c r="D5" s="3" t="str">
        <f>"昭通师范高等专科学校思想政治教育"</f>
        <v>昭通师范高等专科学校思想政治教育</v>
      </c>
      <c r="E5" s="3" t="s">
        <v>10</v>
      </c>
      <c r="F5" s="3" t="s">
        <v>4</v>
      </c>
      <c r="G5" s="3"/>
    </row>
    <row r="6" spans="1:7" x14ac:dyDescent="0.15">
      <c r="A6" s="2">
        <v>4</v>
      </c>
      <c r="B6" s="3" t="str">
        <f>"令狐媛"</f>
        <v>令狐媛</v>
      </c>
      <c r="C6" s="3" t="str">
        <f t="shared" si="0"/>
        <v xml:space="preserve">女        </v>
      </c>
      <c r="D6" s="3" t="str">
        <f>"昭通学院学前教育"</f>
        <v>昭通学院学前教育</v>
      </c>
      <c r="E6" s="3" t="s">
        <v>10</v>
      </c>
      <c r="F6" s="3" t="s">
        <v>4</v>
      </c>
      <c r="G6" s="3"/>
    </row>
    <row r="7" spans="1:7" x14ac:dyDescent="0.15">
      <c r="A7" s="2">
        <v>5</v>
      </c>
      <c r="B7" s="3" t="str">
        <f>"黄连面"</f>
        <v>黄连面</v>
      </c>
      <c r="C7" s="3" t="str">
        <f t="shared" si="0"/>
        <v xml:space="preserve">女        </v>
      </c>
      <c r="D7" s="3" t="str">
        <f>"红河学院汉语言文学"</f>
        <v>红河学院汉语言文学</v>
      </c>
      <c r="E7" s="3" t="str">
        <f>"本科"</f>
        <v>本科</v>
      </c>
      <c r="F7" s="3" t="s">
        <v>4</v>
      </c>
      <c r="G7" s="3"/>
    </row>
    <row r="8" spans="1:7" x14ac:dyDescent="0.15">
      <c r="A8" s="2">
        <v>6</v>
      </c>
      <c r="B8" s="3" t="str">
        <f>"罗彩珍"</f>
        <v>罗彩珍</v>
      </c>
      <c r="C8" s="3" t="str">
        <f t="shared" si="0"/>
        <v xml:space="preserve">女        </v>
      </c>
      <c r="D8" s="3" t="str">
        <f>"南宁地区教育学院语文教育"</f>
        <v>南宁地区教育学院语文教育</v>
      </c>
      <c r="E8" s="3" t="s">
        <v>10</v>
      </c>
      <c r="F8" s="3" t="s">
        <v>4</v>
      </c>
      <c r="G8" s="3"/>
    </row>
    <row r="9" spans="1:7" x14ac:dyDescent="0.15">
      <c r="A9" s="2">
        <v>7</v>
      </c>
      <c r="B9" s="3" t="str">
        <f>"黄晓娟"</f>
        <v>黄晓娟</v>
      </c>
      <c r="C9" s="3" t="str">
        <f t="shared" si="0"/>
        <v xml:space="preserve">女        </v>
      </c>
      <c r="D9" s="3" t="str">
        <f>"广西工业职业技术学院语文教育"</f>
        <v>广西工业职业技术学院语文教育</v>
      </c>
      <c r="E9" s="3" t="s">
        <v>10</v>
      </c>
      <c r="F9" s="3" t="s">
        <v>4</v>
      </c>
      <c r="G9" s="3"/>
    </row>
    <row r="10" spans="1:7" x14ac:dyDescent="0.15">
      <c r="A10" s="2">
        <v>8</v>
      </c>
      <c r="B10" s="3" t="str">
        <f>"韦莹"</f>
        <v>韦莹</v>
      </c>
      <c r="C10" s="3" t="str">
        <f t="shared" si="0"/>
        <v xml:space="preserve">女        </v>
      </c>
      <c r="D10" s="3" t="str">
        <f>"湖南商学院北津学院市场营销"</f>
        <v>湖南商学院北津学院市场营销</v>
      </c>
      <c r="E10" s="3" t="str">
        <f t="shared" ref="E10:E12" si="1">"本科"</f>
        <v>本科</v>
      </c>
      <c r="F10" s="3" t="s">
        <v>4</v>
      </c>
      <c r="G10" s="3"/>
    </row>
    <row r="11" spans="1:7" x14ac:dyDescent="0.15">
      <c r="A11" s="2">
        <v>9</v>
      </c>
      <c r="B11" s="3" t="str">
        <f>"杨开明"</f>
        <v>杨开明</v>
      </c>
      <c r="C11" s="3" t="str">
        <f>"男        "</f>
        <v xml:space="preserve">男        </v>
      </c>
      <c r="D11" s="3" t="str">
        <f>"云南师范大学小学教育"</f>
        <v>云南师范大学小学教育</v>
      </c>
      <c r="E11" s="3" t="str">
        <f t="shared" si="1"/>
        <v>本科</v>
      </c>
      <c r="F11" s="3" t="s">
        <v>5</v>
      </c>
      <c r="G11" s="3"/>
    </row>
    <row r="12" spans="1:7" x14ac:dyDescent="0.15">
      <c r="A12" s="2">
        <v>10</v>
      </c>
      <c r="B12" s="3" t="str">
        <f>"吴润梅"</f>
        <v>吴润梅</v>
      </c>
      <c r="C12" s="3" t="str">
        <f>"女        "</f>
        <v xml:space="preserve">女        </v>
      </c>
      <c r="D12" s="3" t="str">
        <f>"云南师范大学小学教育"</f>
        <v>云南师范大学小学教育</v>
      </c>
      <c r="E12" s="3" t="str">
        <f t="shared" si="1"/>
        <v>本科</v>
      </c>
      <c r="F12" s="3" t="s">
        <v>5</v>
      </c>
      <c r="G12" s="3"/>
    </row>
    <row r="13" spans="1:7" x14ac:dyDescent="0.15">
      <c r="A13" s="2">
        <v>11</v>
      </c>
      <c r="B13" s="3" t="str">
        <f>"陆春欢"</f>
        <v>陆春欢</v>
      </c>
      <c r="C13" s="3" t="str">
        <f>"女        "</f>
        <v xml:space="preserve">女        </v>
      </c>
      <c r="D13" s="3" t="str">
        <f>"广西教育学院汉语"</f>
        <v>广西教育学院汉语</v>
      </c>
      <c r="E13" s="3" t="s">
        <v>10</v>
      </c>
      <c r="F13" s="3" t="s">
        <v>4</v>
      </c>
      <c r="G13" s="3"/>
    </row>
    <row r="14" spans="1:7" x14ac:dyDescent="0.15">
      <c r="A14" s="2">
        <v>12</v>
      </c>
      <c r="B14" s="3" t="str">
        <f>"黄金凤"</f>
        <v>黄金凤</v>
      </c>
      <c r="C14" s="3" t="str">
        <f>"女        "</f>
        <v xml:space="preserve">女        </v>
      </c>
      <c r="D14" s="3" t="str">
        <f>"百色学院汉语"</f>
        <v>百色学院汉语</v>
      </c>
      <c r="E14" s="3" t="s">
        <v>10</v>
      </c>
      <c r="F14" s="3" t="s">
        <v>4</v>
      </c>
      <c r="G14" s="3"/>
    </row>
    <row r="15" spans="1:7" x14ac:dyDescent="0.15">
      <c r="A15" s="2">
        <v>13</v>
      </c>
      <c r="B15" s="3" t="str">
        <f>"余友秋"</f>
        <v>余友秋</v>
      </c>
      <c r="C15" s="3" t="str">
        <f>"女        "</f>
        <v xml:space="preserve">女        </v>
      </c>
      <c r="D15" s="3" t="str">
        <f>"曲靖师范学院软件工程"</f>
        <v>曲靖师范学院软件工程</v>
      </c>
      <c r="E15" s="3" t="str">
        <f>"本科"</f>
        <v>本科</v>
      </c>
      <c r="F15" s="3" t="s">
        <v>5</v>
      </c>
      <c r="G15" s="3"/>
    </row>
    <row r="16" spans="1:7" x14ac:dyDescent="0.15">
      <c r="A16" s="2">
        <v>14</v>
      </c>
      <c r="B16" s="3" t="str">
        <f>"黄尧"</f>
        <v>黄尧</v>
      </c>
      <c r="C16" s="3" t="str">
        <f>"女        "</f>
        <v xml:space="preserve">女        </v>
      </c>
      <c r="D16" s="3" t="str">
        <f>"河池学院学前教育"</f>
        <v>河池学院学前教育</v>
      </c>
      <c r="E16" s="3" t="s">
        <v>10</v>
      </c>
      <c r="F16" s="3" t="s">
        <v>4</v>
      </c>
      <c r="G16" s="3"/>
    </row>
    <row r="17" spans="1:7" x14ac:dyDescent="0.15">
      <c r="A17" s="2">
        <v>15</v>
      </c>
      <c r="B17" s="3" t="str">
        <f>"农康"</f>
        <v>农康</v>
      </c>
      <c r="C17" s="3" t="str">
        <f>"男        "</f>
        <v xml:space="preserve">男        </v>
      </c>
      <c r="D17" s="3" t="str">
        <f>"文山学院思想政治教育"</f>
        <v>文山学院思想政治教育</v>
      </c>
      <c r="E17" s="3" t="str">
        <f t="shared" ref="E17:E18" si="2">"本科"</f>
        <v>本科</v>
      </c>
      <c r="F17" s="3" t="s">
        <v>4</v>
      </c>
      <c r="G17" s="3"/>
    </row>
    <row r="18" spans="1:7" x14ac:dyDescent="0.15">
      <c r="A18" s="2">
        <v>16</v>
      </c>
      <c r="B18" s="3" t="str">
        <f>"黄克定"</f>
        <v>黄克定</v>
      </c>
      <c r="C18" s="3" t="str">
        <f>"男        "</f>
        <v xml:space="preserve">男        </v>
      </c>
      <c r="D18" s="3" t="str">
        <f>"百色学院体育教育"</f>
        <v>百色学院体育教育</v>
      </c>
      <c r="E18" s="3" t="str">
        <f t="shared" si="2"/>
        <v>本科</v>
      </c>
      <c r="F18" s="3" t="s">
        <v>7</v>
      </c>
      <c r="G18" s="3"/>
    </row>
    <row r="19" spans="1:7" x14ac:dyDescent="0.15">
      <c r="A19" s="2">
        <v>17</v>
      </c>
      <c r="B19" s="3" t="str">
        <f>"黎玉金"</f>
        <v>黎玉金</v>
      </c>
      <c r="C19" s="3" t="str">
        <f t="shared" ref="C19:C25" si="3">"女        "</f>
        <v xml:space="preserve">女        </v>
      </c>
      <c r="D19" s="3" t="str">
        <f>"广西教育学院汉语"</f>
        <v>广西教育学院汉语</v>
      </c>
      <c r="E19" s="3" t="s">
        <v>10</v>
      </c>
      <c r="F19" s="3" t="s">
        <v>4</v>
      </c>
      <c r="G19" s="3"/>
    </row>
    <row r="20" spans="1:7" x14ac:dyDescent="0.15">
      <c r="A20" s="2">
        <v>18</v>
      </c>
      <c r="B20" s="3" t="str">
        <f>"陈彩燕"</f>
        <v>陈彩燕</v>
      </c>
      <c r="C20" s="3" t="str">
        <f t="shared" si="3"/>
        <v xml:space="preserve">女        </v>
      </c>
      <c r="D20" s="3" t="str">
        <f>"贺州学院化学"</f>
        <v>贺州学院化学</v>
      </c>
      <c r="E20" s="3" t="str">
        <f>"本科"</f>
        <v>本科</v>
      </c>
      <c r="F20" s="3" t="s">
        <v>5</v>
      </c>
      <c r="G20" s="3"/>
    </row>
    <row r="21" spans="1:7" x14ac:dyDescent="0.15">
      <c r="A21" s="2">
        <v>19</v>
      </c>
      <c r="B21" s="3" t="str">
        <f>"黄月红"</f>
        <v>黄月红</v>
      </c>
      <c r="C21" s="3" t="str">
        <f t="shared" si="3"/>
        <v xml:space="preserve">女        </v>
      </c>
      <c r="D21" s="3" t="str">
        <f>"广西幼儿师范高等专科学校语文教育"</f>
        <v>广西幼儿师范高等专科学校语文教育</v>
      </c>
      <c r="E21" s="3" t="s">
        <v>10</v>
      </c>
      <c r="F21" s="3" t="s">
        <v>4</v>
      </c>
      <c r="G21" s="3"/>
    </row>
    <row r="22" spans="1:7" x14ac:dyDescent="0.15">
      <c r="A22" s="2">
        <v>20</v>
      </c>
      <c r="B22" s="3" t="str">
        <f>"辉顺冰"</f>
        <v>辉顺冰</v>
      </c>
      <c r="C22" s="3" t="str">
        <f t="shared" si="3"/>
        <v xml:space="preserve">女        </v>
      </c>
      <c r="D22" s="3" t="str">
        <f>"德宏师范高等专科学校英语教育"</f>
        <v>德宏师范高等专科学校英语教育</v>
      </c>
      <c r="E22" s="3" t="s">
        <v>10</v>
      </c>
      <c r="F22" s="3" t="s">
        <v>6</v>
      </c>
      <c r="G22" s="3"/>
    </row>
    <row r="23" spans="1:7" x14ac:dyDescent="0.15">
      <c r="A23" s="2">
        <v>21</v>
      </c>
      <c r="B23" s="3" t="str">
        <f>"刘娟"</f>
        <v>刘娟</v>
      </c>
      <c r="C23" s="3" t="str">
        <f t="shared" si="3"/>
        <v xml:space="preserve">女        </v>
      </c>
      <c r="D23" s="3" t="str">
        <f>"云南工商学院会计学"</f>
        <v>云南工商学院会计学</v>
      </c>
      <c r="E23" s="3" t="str">
        <f t="shared" ref="E23:E24" si="4">"本科"</f>
        <v>本科</v>
      </c>
      <c r="F23" s="3" t="s">
        <v>9</v>
      </c>
      <c r="G23" s="3"/>
    </row>
    <row r="24" spans="1:7" x14ac:dyDescent="0.15">
      <c r="A24" s="2">
        <v>22</v>
      </c>
      <c r="B24" s="3" t="str">
        <f>"黄春艳"</f>
        <v>黄春艳</v>
      </c>
      <c r="C24" s="3" t="str">
        <f t="shared" si="3"/>
        <v xml:space="preserve">女        </v>
      </c>
      <c r="D24" s="3" t="str">
        <f>"文山学院小学教育"</f>
        <v>文山学院小学教育</v>
      </c>
      <c r="E24" s="3" t="str">
        <f t="shared" si="4"/>
        <v>本科</v>
      </c>
      <c r="F24" s="3" t="s">
        <v>4</v>
      </c>
      <c r="G24" s="3"/>
    </row>
    <row r="25" spans="1:7" x14ac:dyDescent="0.15">
      <c r="A25" s="2">
        <v>23</v>
      </c>
      <c r="B25" s="3" t="str">
        <f>"陈昌芬"</f>
        <v>陈昌芬</v>
      </c>
      <c r="C25" s="3" t="str">
        <f t="shared" si="3"/>
        <v xml:space="preserve">女        </v>
      </c>
      <c r="D25" s="3" t="str">
        <f>"黔南民族幼儿师范高等专科学校语文教育"</f>
        <v>黔南民族幼儿师范高等专科学校语文教育</v>
      </c>
      <c r="E25" s="3" t="s">
        <v>10</v>
      </c>
      <c r="F25" s="3" t="s">
        <v>4</v>
      </c>
      <c r="G25" s="3"/>
    </row>
    <row r="26" spans="1:7" x14ac:dyDescent="0.15">
      <c r="A26" s="2">
        <v>24</v>
      </c>
      <c r="B26" s="3" t="str">
        <f>"姚保林"</f>
        <v>姚保林</v>
      </c>
      <c r="C26" s="3" t="str">
        <f>"男        "</f>
        <v xml:space="preserve">男        </v>
      </c>
      <c r="D26" s="3" t="str">
        <f>"云南省西双版纳职业技术学院初等教育"</f>
        <v>云南省西双版纳职业技术学院初等教育</v>
      </c>
      <c r="E26" s="3" t="s">
        <v>10</v>
      </c>
      <c r="F26" s="3" t="s">
        <v>5</v>
      </c>
      <c r="G26" s="3"/>
    </row>
    <row r="27" spans="1:7" x14ac:dyDescent="0.15">
      <c r="A27" s="2">
        <v>25</v>
      </c>
      <c r="B27" s="3" t="str">
        <f>"陆庭华"</f>
        <v>陆庭华</v>
      </c>
      <c r="C27" s="3" t="str">
        <f>"男        "</f>
        <v xml:space="preserve">男        </v>
      </c>
      <c r="D27" s="3" t="str">
        <f>"云南师范大学农业建筑环境与能源工程"</f>
        <v>云南师范大学农业建筑环境与能源工程</v>
      </c>
      <c r="E27" s="3" t="str">
        <f>"本科"</f>
        <v>本科</v>
      </c>
      <c r="F27" s="3" t="s">
        <v>5</v>
      </c>
      <c r="G27" s="3"/>
    </row>
    <row r="28" spans="1:7" x14ac:dyDescent="0.15">
      <c r="A28" s="2">
        <v>26</v>
      </c>
      <c r="B28" s="3" t="str">
        <f>"张娟"</f>
        <v>张娟</v>
      </c>
      <c r="C28" s="3" t="str">
        <f>"女        "</f>
        <v xml:space="preserve">女        </v>
      </c>
      <c r="D28" s="3" t="str">
        <f>"文山学院化学教育"</f>
        <v>文山学院化学教育</v>
      </c>
      <c r="E28" s="3" t="s">
        <v>10</v>
      </c>
      <c r="F28" s="3" t="s">
        <v>5</v>
      </c>
      <c r="G28" s="3"/>
    </row>
    <row r="29" spans="1:7" x14ac:dyDescent="0.15">
      <c r="A29" s="2">
        <v>27</v>
      </c>
      <c r="B29" s="3" t="str">
        <f>"张肖萍"</f>
        <v>张肖萍</v>
      </c>
      <c r="C29" s="3" t="str">
        <f>"女        "</f>
        <v xml:space="preserve">女        </v>
      </c>
      <c r="D29" s="3" t="str">
        <f>"广西百色学院综合文科教育"</f>
        <v>广西百色学院综合文科教育</v>
      </c>
      <c r="E29" s="3" t="s">
        <v>10</v>
      </c>
      <c r="F29" s="3" t="s">
        <v>4</v>
      </c>
      <c r="G29" s="3"/>
    </row>
    <row r="30" spans="1:7" x14ac:dyDescent="0.15">
      <c r="A30" s="2">
        <v>28</v>
      </c>
      <c r="B30" s="3" t="str">
        <f>"赵辉波"</f>
        <v>赵辉波</v>
      </c>
      <c r="C30" s="3" t="str">
        <f>"女        "</f>
        <v xml:space="preserve">女        </v>
      </c>
      <c r="D30" s="3" t="str">
        <f>"西双版纳职业技术学院语文教育"</f>
        <v>西双版纳职业技术学院语文教育</v>
      </c>
      <c r="E30" s="3" t="s">
        <v>10</v>
      </c>
      <c r="F30" s="3" t="s">
        <v>4</v>
      </c>
      <c r="G30" s="3"/>
    </row>
    <row r="31" spans="1:7" x14ac:dyDescent="0.15">
      <c r="A31" s="2">
        <v>29</v>
      </c>
      <c r="B31" s="3" t="str">
        <f>"许德贤"</f>
        <v>许德贤</v>
      </c>
      <c r="C31" s="3" t="str">
        <f>"男        "</f>
        <v xml:space="preserve">男        </v>
      </c>
      <c r="D31" s="3" t="str">
        <f>"楚雄师范学院人文地理与城乡规划"</f>
        <v>楚雄师范学院人文地理与城乡规划</v>
      </c>
      <c r="E31" s="3" t="str">
        <f>"本科"</f>
        <v>本科</v>
      </c>
      <c r="F31" s="3" t="s">
        <v>5</v>
      </c>
      <c r="G31" s="3"/>
    </row>
    <row r="32" spans="1:7" x14ac:dyDescent="0.15">
      <c r="A32" s="2">
        <v>30</v>
      </c>
      <c r="B32" s="3" t="str">
        <f>"黄艳燕"</f>
        <v>黄艳燕</v>
      </c>
      <c r="C32" s="3" t="str">
        <f>"女        "</f>
        <v xml:space="preserve">女        </v>
      </c>
      <c r="D32" s="3" t="str">
        <f>"广西科技师范学院化学教育"</f>
        <v>广西科技师范学院化学教育</v>
      </c>
      <c r="E32" s="3" t="s">
        <v>10</v>
      </c>
      <c r="F32" s="3" t="s">
        <v>5</v>
      </c>
      <c r="G32" s="3"/>
    </row>
    <row r="33" spans="1:7" x14ac:dyDescent="0.15">
      <c r="A33" s="2">
        <v>31</v>
      </c>
      <c r="B33" s="3" t="str">
        <f>"陈美晔"</f>
        <v>陈美晔</v>
      </c>
      <c r="C33" s="3" t="str">
        <f>"女        "</f>
        <v xml:space="preserve">女        </v>
      </c>
      <c r="D33" s="3" t="str">
        <f>"文山学院汉语言文学"</f>
        <v>文山学院汉语言文学</v>
      </c>
      <c r="E33" s="3" t="str">
        <f>"本科"</f>
        <v>本科</v>
      </c>
      <c r="F33" s="3" t="s">
        <v>4</v>
      </c>
      <c r="G33" s="3"/>
    </row>
    <row r="34" spans="1:7" x14ac:dyDescent="0.15">
      <c r="A34" s="2">
        <v>32</v>
      </c>
      <c r="B34" s="3" t="str">
        <f>"张红雪"</f>
        <v>张红雪</v>
      </c>
      <c r="C34" s="3" t="str">
        <f>"女        "</f>
        <v xml:space="preserve">女        </v>
      </c>
      <c r="D34" s="3" t="str">
        <f>"铜仁学院初等教育"</f>
        <v>铜仁学院初等教育</v>
      </c>
      <c r="E34" s="3" t="s">
        <v>10</v>
      </c>
      <c r="F34" s="3" t="s">
        <v>4</v>
      </c>
      <c r="G34" s="3"/>
    </row>
    <row r="35" spans="1:7" x14ac:dyDescent="0.15">
      <c r="A35" s="2">
        <v>33</v>
      </c>
      <c r="B35" s="3" t="str">
        <f>"段继娥"</f>
        <v>段继娥</v>
      </c>
      <c r="C35" s="3" t="str">
        <f>"女        "</f>
        <v xml:space="preserve">女        </v>
      </c>
      <c r="D35" s="3" t="str">
        <f>"广西师范学院师园学院汉语言文学"</f>
        <v>广西师范学院师园学院汉语言文学</v>
      </c>
      <c r="E35" s="3" t="str">
        <f>"本科"</f>
        <v>本科</v>
      </c>
      <c r="F35" s="3" t="s">
        <v>4</v>
      </c>
      <c r="G35" s="3"/>
    </row>
    <row r="36" spans="1:7" x14ac:dyDescent="0.15">
      <c r="A36" s="2">
        <v>34</v>
      </c>
      <c r="B36" s="3" t="str">
        <f>"赵伟"</f>
        <v>赵伟</v>
      </c>
      <c r="C36" s="3" t="str">
        <f>"男        "</f>
        <v xml:space="preserve">男        </v>
      </c>
      <c r="D36" s="3" t="str">
        <f>"临沧师范高等专科学校语文教育"</f>
        <v>临沧师范高等专科学校语文教育</v>
      </c>
      <c r="E36" s="3" t="s">
        <v>10</v>
      </c>
      <c r="F36" s="3" t="s">
        <v>4</v>
      </c>
      <c r="G36" s="3"/>
    </row>
    <row r="37" spans="1:7" x14ac:dyDescent="0.15">
      <c r="A37" s="2">
        <v>35</v>
      </c>
      <c r="B37" s="3" t="str">
        <f>"牛丹妮"</f>
        <v>牛丹妮</v>
      </c>
      <c r="C37" s="3" t="str">
        <f t="shared" ref="C37:C42" si="5">"女        "</f>
        <v xml:space="preserve">女        </v>
      </c>
      <c r="D37" s="3" t="str">
        <f>"西南林业大学电子信息工程"</f>
        <v>西南林业大学电子信息工程</v>
      </c>
      <c r="E37" s="3" t="str">
        <f t="shared" ref="E37:E43" si="6">"本科"</f>
        <v>本科</v>
      </c>
      <c r="F37" s="3" t="s">
        <v>5</v>
      </c>
      <c r="G37" s="3"/>
    </row>
    <row r="38" spans="1:7" x14ac:dyDescent="0.15">
      <c r="A38" s="2">
        <v>36</v>
      </c>
      <c r="B38" s="3" t="str">
        <f>"杨文艳"</f>
        <v>杨文艳</v>
      </c>
      <c r="C38" s="3" t="str">
        <f t="shared" si="5"/>
        <v xml:space="preserve">女        </v>
      </c>
      <c r="D38" s="3" t="str">
        <f>"云南民族大学计算机科学与技术"</f>
        <v>云南民族大学计算机科学与技术</v>
      </c>
      <c r="E38" s="3" t="str">
        <f t="shared" si="6"/>
        <v>本科</v>
      </c>
      <c r="F38" s="3" t="s">
        <v>9</v>
      </c>
      <c r="G38" s="3"/>
    </row>
    <row r="39" spans="1:7" x14ac:dyDescent="0.15">
      <c r="A39" s="2">
        <v>37</v>
      </c>
      <c r="B39" s="3" t="str">
        <f>"宋德念"</f>
        <v>宋德念</v>
      </c>
      <c r="C39" s="3" t="str">
        <f t="shared" si="5"/>
        <v xml:space="preserve">女        </v>
      </c>
      <c r="D39" s="3" t="str">
        <f>"凯里学院日语师范"</f>
        <v>凯里学院日语师范</v>
      </c>
      <c r="E39" s="3" t="str">
        <f t="shared" si="6"/>
        <v>本科</v>
      </c>
      <c r="F39" s="3" t="s">
        <v>6</v>
      </c>
      <c r="G39" s="3"/>
    </row>
    <row r="40" spans="1:7" x14ac:dyDescent="0.15">
      <c r="A40" s="2">
        <v>38</v>
      </c>
      <c r="B40" s="3" t="str">
        <f>"杨繁"</f>
        <v>杨繁</v>
      </c>
      <c r="C40" s="3" t="str">
        <f t="shared" si="5"/>
        <v xml:space="preserve">女        </v>
      </c>
      <c r="D40" s="3" t="str">
        <f>"西南林业大学林学"</f>
        <v>西南林业大学林学</v>
      </c>
      <c r="E40" s="3" t="str">
        <f t="shared" si="6"/>
        <v>本科</v>
      </c>
      <c r="F40" s="3" t="s">
        <v>4</v>
      </c>
      <c r="G40" s="3"/>
    </row>
    <row r="41" spans="1:7" x14ac:dyDescent="0.15">
      <c r="A41" s="2">
        <v>39</v>
      </c>
      <c r="B41" s="3" t="str">
        <f>"刘秋干"</f>
        <v>刘秋干</v>
      </c>
      <c r="C41" s="3" t="str">
        <f t="shared" si="5"/>
        <v xml:space="preserve">女        </v>
      </c>
      <c r="D41" s="3" t="str">
        <f>"长春财经学院国际商务"</f>
        <v>长春财经学院国际商务</v>
      </c>
      <c r="E41" s="3" t="str">
        <f t="shared" si="6"/>
        <v>本科</v>
      </c>
      <c r="F41" s="3" t="s">
        <v>4</v>
      </c>
      <c r="G41" s="3"/>
    </row>
    <row r="42" spans="1:7" x14ac:dyDescent="0.15">
      <c r="A42" s="2">
        <v>40</v>
      </c>
      <c r="B42" s="3" t="str">
        <f>"黄小雨"</f>
        <v>黄小雨</v>
      </c>
      <c r="C42" s="3" t="str">
        <f t="shared" si="5"/>
        <v xml:space="preserve">女        </v>
      </c>
      <c r="D42" s="3" t="str">
        <f>"河南省平顶山学院广播电视编导"</f>
        <v>河南省平顶山学院广播电视编导</v>
      </c>
      <c r="E42" s="3" t="str">
        <f t="shared" si="6"/>
        <v>本科</v>
      </c>
      <c r="F42" s="3" t="s">
        <v>4</v>
      </c>
      <c r="G42" s="3"/>
    </row>
    <row r="43" spans="1:7" x14ac:dyDescent="0.15">
      <c r="A43" s="2">
        <v>41</v>
      </c>
      <c r="B43" s="3" t="str">
        <f>"汪建鹏"</f>
        <v>汪建鹏</v>
      </c>
      <c r="C43" s="3" t="str">
        <f>"男        "</f>
        <v xml:space="preserve">男        </v>
      </c>
      <c r="D43" s="3" t="str">
        <f>"云南民族大学汉语国际教育"</f>
        <v>云南民族大学汉语国际教育</v>
      </c>
      <c r="E43" s="3" t="str">
        <f t="shared" si="6"/>
        <v>本科</v>
      </c>
      <c r="F43" s="3" t="s">
        <v>4</v>
      </c>
      <c r="G43" s="3"/>
    </row>
    <row r="44" spans="1:7" x14ac:dyDescent="0.15">
      <c r="A44" s="2">
        <v>42</v>
      </c>
      <c r="B44" s="3" t="str">
        <f>"田云粉"</f>
        <v>田云粉</v>
      </c>
      <c r="C44" s="3" t="str">
        <f>"女        "</f>
        <v xml:space="preserve">女        </v>
      </c>
      <c r="D44" s="3" t="str">
        <f>"丽江师范学院体育教育"</f>
        <v>丽江师范学院体育教育</v>
      </c>
      <c r="E44" s="3" t="s">
        <v>10</v>
      </c>
      <c r="F44" s="3" t="s">
        <v>7</v>
      </c>
      <c r="G44" s="3"/>
    </row>
    <row r="45" spans="1:7" x14ac:dyDescent="0.15">
      <c r="A45" s="2">
        <v>43</v>
      </c>
      <c r="B45" s="3" t="str">
        <f>"刘学问"</f>
        <v>刘学问</v>
      </c>
      <c r="C45" s="3" t="str">
        <f>"男        "</f>
        <v xml:space="preserve">男        </v>
      </c>
      <c r="D45" s="3" t="str">
        <f>"昭通学院小学教育"</f>
        <v>昭通学院小学教育</v>
      </c>
      <c r="E45" s="3" t="str">
        <f t="shared" ref="E45:E46" si="7">"本科"</f>
        <v>本科</v>
      </c>
      <c r="F45" s="3" t="s">
        <v>5</v>
      </c>
      <c r="G45" s="3"/>
    </row>
    <row r="46" spans="1:7" x14ac:dyDescent="0.15">
      <c r="A46" s="2">
        <v>44</v>
      </c>
      <c r="B46" s="3" t="str">
        <f>"蒋京津"</f>
        <v>蒋京津</v>
      </c>
      <c r="C46" s="3" t="str">
        <f>"女        "</f>
        <v xml:space="preserve">女        </v>
      </c>
      <c r="D46" s="3" t="str">
        <f>"广西师范学院师园学院汉语言文学"</f>
        <v>广西师范学院师园学院汉语言文学</v>
      </c>
      <c r="E46" s="3" t="str">
        <f t="shared" si="7"/>
        <v>本科</v>
      </c>
      <c r="F46" s="3" t="s">
        <v>4</v>
      </c>
      <c r="G46" s="3"/>
    </row>
    <row r="47" spans="1:7" x14ac:dyDescent="0.15">
      <c r="A47" s="2">
        <v>45</v>
      </c>
      <c r="B47" s="3" t="str">
        <f>"杨志会"</f>
        <v>杨志会</v>
      </c>
      <c r="C47" s="3" t="str">
        <f>"男        "</f>
        <v xml:space="preserve">男        </v>
      </c>
      <c r="D47" s="3" t="str">
        <f>"铜仁幼儿师范高等专科学校初等教育"</f>
        <v>铜仁幼儿师范高等专科学校初等教育</v>
      </c>
      <c r="E47" s="3" t="s">
        <v>10</v>
      </c>
      <c r="F47" s="3" t="s">
        <v>4</v>
      </c>
      <c r="G47" s="3"/>
    </row>
    <row r="48" spans="1:7" x14ac:dyDescent="0.15">
      <c r="A48" s="2">
        <v>46</v>
      </c>
      <c r="B48" s="3" t="str">
        <f>"李蓉"</f>
        <v>李蓉</v>
      </c>
      <c r="C48" s="3" t="str">
        <f t="shared" ref="C48:C53" si="8">"女        "</f>
        <v xml:space="preserve">女        </v>
      </c>
      <c r="D48" s="3" t="str">
        <f>"云南师范大学文理学院财务管理"</f>
        <v>云南师范大学文理学院财务管理</v>
      </c>
      <c r="E48" s="3" t="str">
        <f>"本科"</f>
        <v>本科</v>
      </c>
      <c r="F48" s="3" t="s">
        <v>5</v>
      </c>
      <c r="G48" s="3"/>
    </row>
    <row r="49" spans="1:7" x14ac:dyDescent="0.15">
      <c r="A49" s="2">
        <v>47</v>
      </c>
      <c r="B49" s="3" t="str">
        <f>"马大梅"</f>
        <v>马大梅</v>
      </c>
      <c r="C49" s="3" t="str">
        <f t="shared" si="8"/>
        <v xml:space="preserve">女        </v>
      </c>
      <c r="D49" s="3" t="str">
        <f>"文山学院初等教育"</f>
        <v>文山学院初等教育</v>
      </c>
      <c r="E49" s="3" t="s">
        <v>10</v>
      </c>
      <c r="F49" s="3" t="s">
        <v>4</v>
      </c>
      <c r="G49" s="3"/>
    </row>
    <row r="50" spans="1:7" x14ac:dyDescent="0.15">
      <c r="A50" s="2">
        <v>48</v>
      </c>
      <c r="B50" s="3" t="str">
        <f>"杨金旋"</f>
        <v>杨金旋</v>
      </c>
      <c r="C50" s="3" t="str">
        <f t="shared" si="8"/>
        <v xml:space="preserve">女        </v>
      </c>
      <c r="D50" s="3" t="str">
        <f>"西北民族大学工商管理"</f>
        <v>西北民族大学工商管理</v>
      </c>
      <c r="E50" s="3" t="str">
        <f>"本科"</f>
        <v>本科</v>
      </c>
      <c r="F50" s="3" t="s">
        <v>4</v>
      </c>
      <c r="G50" s="3"/>
    </row>
    <row r="51" spans="1:7" x14ac:dyDescent="0.15">
      <c r="A51" s="2">
        <v>49</v>
      </c>
      <c r="B51" s="3" t="str">
        <f>"杨娇"</f>
        <v>杨娇</v>
      </c>
      <c r="C51" s="3" t="str">
        <f t="shared" si="8"/>
        <v xml:space="preserve">女        </v>
      </c>
      <c r="D51" s="3" t="str">
        <f>"玉溪师范学院学前教育"</f>
        <v>玉溪师范学院学前教育</v>
      </c>
      <c r="E51" s="3" t="s">
        <v>10</v>
      </c>
      <c r="F51" s="3" t="s">
        <v>4</v>
      </c>
      <c r="G51" s="3"/>
    </row>
    <row r="52" spans="1:7" x14ac:dyDescent="0.15">
      <c r="A52" s="2">
        <v>50</v>
      </c>
      <c r="B52" s="3" t="str">
        <f>"马随循"</f>
        <v>马随循</v>
      </c>
      <c r="C52" s="3" t="str">
        <f t="shared" si="8"/>
        <v xml:space="preserve">女        </v>
      </c>
      <c r="D52" s="3" t="str">
        <f>"文山学院英语教育"</f>
        <v>文山学院英语教育</v>
      </c>
      <c r="E52" s="3" t="s">
        <v>10</v>
      </c>
      <c r="F52" s="3" t="s">
        <v>6</v>
      </c>
      <c r="G52" s="3"/>
    </row>
    <row r="53" spans="1:7" x14ac:dyDescent="0.15">
      <c r="A53" s="2">
        <v>51</v>
      </c>
      <c r="B53" s="3" t="str">
        <f>"严悦"</f>
        <v>严悦</v>
      </c>
      <c r="C53" s="3" t="str">
        <f t="shared" si="8"/>
        <v xml:space="preserve">女        </v>
      </c>
      <c r="D53" s="3" t="str">
        <f>"云南师范大学文理学院对外汉语"</f>
        <v>云南师范大学文理学院对外汉语</v>
      </c>
      <c r="E53" s="3" t="str">
        <f t="shared" ref="E53:E57" si="9">"本科"</f>
        <v>本科</v>
      </c>
      <c r="F53" s="3" t="s">
        <v>4</v>
      </c>
      <c r="G53" s="3"/>
    </row>
    <row r="54" spans="1:7" x14ac:dyDescent="0.15">
      <c r="A54" s="2">
        <v>52</v>
      </c>
      <c r="B54" s="3" t="str">
        <f>"蒙吉审"</f>
        <v>蒙吉审</v>
      </c>
      <c r="C54" s="3" t="str">
        <f>"男        "</f>
        <v xml:space="preserve">男        </v>
      </c>
      <c r="D54" s="3" t="str">
        <f>"广西师范学院体育教育"</f>
        <v>广西师范学院体育教育</v>
      </c>
      <c r="E54" s="3" t="str">
        <f t="shared" si="9"/>
        <v>本科</v>
      </c>
      <c r="F54" s="3" t="s">
        <v>7</v>
      </c>
      <c r="G54" s="3"/>
    </row>
    <row r="55" spans="1:7" x14ac:dyDescent="0.15">
      <c r="A55" s="2">
        <v>53</v>
      </c>
      <c r="B55" s="3" t="str">
        <f>"吴太威"</f>
        <v>吴太威</v>
      </c>
      <c r="C55" s="3" t="str">
        <f>"女        "</f>
        <v xml:space="preserve">女        </v>
      </c>
      <c r="D55" s="3" t="str">
        <f>"云南艺术学院文华学院汉语言文学"</f>
        <v>云南艺术学院文华学院汉语言文学</v>
      </c>
      <c r="E55" s="3" t="str">
        <f t="shared" si="9"/>
        <v>本科</v>
      </c>
      <c r="F55" s="3" t="s">
        <v>4</v>
      </c>
      <c r="G55" s="3"/>
    </row>
    <row r="56" spans="1:7" x14ac:dyDescent="0.15">
      <c r="A56" s="2">
        <v>54</v>
      </c>
      <c r="B56" s="3" t="str">
        <f>"罗东艳"</f>
        <v>罗东艳</v>
      </c>
      <c r="C56" s="3" t="str">
        <f>"女        "</f>
        <v xml:space="preserve">女        </v>
      </c>
      <c r="D56" s="3" t="str">
        <f>"天津理工大学工业设计"</f>
        <v>天津理工大学工业设计</v>
      </c>
      <c r="E56" s="3" t="str">
        <f t="shared" si="9"/>
        <v>本科</v>
      </c>
      <c r="F56" s="3" t="s">
        <v>5</v>
      </c>
      <c r="G56" s="3"/>
    </row>
    <row r="57" spans="1:7" x14ac:dyDescent="0.15">
      <c r="A57" s="2">
        <v>55</v>
      </c>
      <c r="B57" s="3" t="str">
        <f>"韩秋平"</f>
        <v>韩秋平</v>
      </c>
      <c r="C57" s="3" t="str">
        <f>"女        "</f>
        <v xml:space="preserve">女        </v>
      </c>
      <c r="D57" s="3" t="str">
        <f>"云南大学金融学"</f>
        <v>云南大学金融学</v>
      </c>
      <c r="E57" s="3" t="str">
        <f t="shared" si="9"/>
        <v>本科</v>
      </c>
      <c r="F57" s="3" t="s">
        <v>5</v>
      </c>
      <c r="G57" s="3"/>
    </row>
    <row r="58" spans="1:7" x14ac:dyDescent="0.15">
      <c r="A58" s="2">
        <v>56</v>
      </c>
      <c r="B58" s="3" t="str">
        <f>"黄田"</f>
        <v>黄田</v>
      </c>
      <c r="C58" s="3" t="str">
        <f>"男        "</f>
        <v xml:space="preserve">男        </v>
      </c>
      <c r="D58" s="3" t="str">
        <f>"德宏师范高等专科学校数学教育"</f>
        <v>德宏师范高等专科学校数学教育</v>
      </c>
      <c r="E58" s="3" t="s">
        <v>10</v>
      </c>
      <c r="F58" s="3" t="s">
        <v>5</v>
      </c>
      <c r="G58" s="3"/>
    </row>
    <row r="59" spans="1:7" x14ac:dyDescent="0.15">
      <c r="A59" s="2">
        <v>57</v>
      </c>
      <c r="B59" s="3" t="str">
        <f>"蒙正成"</f>
        <v>蒙正成</v>
      </c>
      <c r="C59" s="3" t="str">
        <f>"男        "</f>
        <v xml:space="preserve">男        </v>
      </c>
      <c r="D59" s="3" t="str">
        <f>"百色学院小学教育"</f>
        <v>百色学院小学教育</v>
      </c>
      <c r="E59" s="3" t="s">
        <v>10</v>
      </c>
      <c r="F59" s="3" t="s">
        <v>5</v>
      </c>
      <c r="G59" s="3"/>
    </row>
    <row r="60" spans="1:7" x14ac:dyDescent="0.15">
      <c r="A60" s="2">
        <v>58</v>
      </c>
      <c r="B60" s="3" t="str">
        <f>"黄升胜"</f>
        <v>黄升胜</v>
      </c>
      <c r="C60" s="3" t="str">
        <f>"男        "</f>
        <v xml:space="preserve">男        </v>
      </c>
      <c r="D60" s="3" t="str">
        <f>"钦州学院教育小学教育理科"</f>
        <v>钦州学院教育小学教育理科</v>
      </c>
      <c r="E60" s="3" t="str">
        <f t="shared" ref="E60:E62" si="10">"本科"</f>
        <v>本科</v>
      </c>
      <c r="F60" s="3" t="s">
        <v>5</v>
      </c>
      <c r="G60" s="3"/>
    </row>
    <row r="61" spans="1:7" x14ac:dyDescent="0.15">
      <c r="A61" s="2">
        <v>59</v>
      </c>
      <c r="B61" s="3" t="str">
        <f>"贺迎春"</f>
        <v>贺迎春</v>
      </c>
      <c r="C61" s="3" t="str">
        <f>"女        "</f>
        <v xml:space="preserve">女        </v>
      </c>
      <c r="D61" s="3" t="str">
        <f>"南昌理工学院广播电视编导"</f>
        <v>南昌理工学院广播电视编导</v>
      </c>
      <c r="E61" s="3" t="str">
        <f t="shared" si="10"/>
        <v>本科</v>
      </c>
      <c r="F61" s="3" t="s">
        <v>4</v>
      </c>
      <c r="G61" s="3"/>
    </row>
    <row r="62" spans="1:7" x14ac:dyDescent="0.15">
      <c r="A62" s="2">
        <v>60</v>
      </c>
      <c r="B62" s="3" t="str">
        <f>"杜江龙"</f>
        <v>杜江龙</v>
      </c>
      <c r="C62" s="3" t="str">
        <f>"男        "</f>
        <v xml:space="preserve">男        </v>
      </c>
      <c r="D62" s="3" t="str">
        <f>"昆明学院音乐学"</f>
        <v>昆明学院音乐学</v>
      </c>
      <c r="E62" s="3" t="str">
        <f t="shared" si="10"/>
        <v>本科</v>
      </c>
      <c r="F62" s="3" t="s">
        <v>8</v>
      </c>
      <c r="G62" s="3"/>
    </row>
    <row r="63" spans="1:7" x14ac:dyDescent="0.15">
      <c r="A63" s="2">
        <v>61</v>
      </c>
      <c r="B63" s="3" t="str">
        <f>"张紫茜"</f>
        <v>张紫茜</v>
      </c>
      <c r="C63" s="3" t="str">
        <f>"女        "</f>
        <v xml:space="preserve">女        </v>
      </c>
      <c r="D63" s="3" t="str">
        <f>"云南省临沧师范高等专科学校语文教育"</f>
        <v>云南省临沧师范高等专科学校语文教育</v>
      </c>
      <c r="E63" s="3" t="s">
        <v>10</v>
      </c>
      <c r="F63" s="3" t="s">
        <v>4</v>
      </c>
      <c r="G63" s="3"/>
    </row>
    <row r="64" spans="1:7" x14ac:dyDescent="0.15">
      <c r="A64" s="2">
        <v>62</v>
      </c>
      <c r="B64" s="3" t="str">
        <f>"杨云秀"</f>
        <v>杨云秀</v>
      </c>
      <c r="C64" s="3" t="str">
        <f>"女        "</f>
        <v xml:space="preserve">女        </v>
      </c>
      <c r="D64" s="3" t="str">
        <f>"云南民族大学中国少数民族语言文学"</f>
        <v>云南民族大学中国少数民族语言文学</v>
      </c>
      <c r="E64" s="3" t="str">
        <f>"本科"</f>
        <v>本科</v>
      </c>
      <c r="F64" s="3" t="s">
        <v>4</v>
      </c>
      <c r="G64" s="3"/>
    </row>
    <row r="65" spans="1:7" x14ac:dyDescent="0.15">
      <c r="A65" s="2">
        <v>63</v>
      </c>
      <c r="B65" s="3" t="str">
        <f>"潘黎"</f>
        <v>潘黎</v>
      </c>
      <c r="C65" s="3" t="str">
        <f>"女        "</f>
        <v xml:space="preserve">女        </v>
      </c>
      <c r="D65" s="3" t="str">
        <f>"云南省丽江师范高等专科学校英语教育"</f>
        <v>云南省丽江师范高等专科学校英语教育</v>
      </c>
      <c r="E65" s="3" t="s">
        <v>10</v>
      </c>
      <c r="F65" s="3" t="s">
        <v>6</v>
      </c>
      <c r="G65" s="3"/>
    </row>
    <row r="66" spans="1:7" x14ac:dyDescent="0.15">
      <c r="A66" s="2">
        <v>64</v>
      </c>
      <c r="B66" s="3" t="str">
        <f>"莫永州"</f>
        <v>莫永州</v>
      </c>
      <c r="C66" s="3" t="str">
        <f>"男        "</f>
        <v xml:space="preserve">男        </v>
      </c>
      <c r="D66" s="3" t="str">
        <f>"上海体育学院体育教育"</f>
        <v>上海体育学院体育教育</v>
      </c>
      <c r="E66" s="3" t="str">
        <f t="shared" ref="E66:E70" si="11">"本科"</f>
        <v>本科</v>
      </c>
      <c r="F66" s="3" t="s">
        <v>7</v>
      </c>
      <c r="G66" s="3"/>
    </row>
    <row r="67" spans="1:7" x14ac:dyDescent="0.15">
      <c r="A67" s="2">
        <v>65</v>
      </c>
      <c r="B67" s="3" t="str">
        <f>"郭智"</f>
        <v>郭智</v>
      </c>
      <c r="C67" s="3" t="str">
        <f>"男        "</f>
        <v xml:space="preserve">男        </v>
      </c>
      <c r="D67" s="3" t="str">
        <f>"玉林师范学院软件工程"</f>
        <v>玉林师范学院软件工程</v>
      </c>
      <c r="E67" s="3" t="str">
        <f t="shared" si="11"/>
        <v>本科</v>
      </c>
      <c r="F67" s="3" t="s">
        <v>9</v>
      </c>
      <c r="G67" s="3"/>
    </row>
    <row r="68" spans="1:7" x14ac:dyDescent="0.15">
      <c r="A68" s="2">
        <v>66</v>
      </c>
      <c r="B68" s="3" t="str">
        <f>"黄夏扬"</f>
        <v>黄夏扬</v>
      </c>
      <c r="C68" s="3" t="str">
        <f>"女        "</f>
        <v xml:space="preserve">女        </v>
      </c>
      <c r="D68" s="3" t="str">
        <f>"广西师范大学物理学"</f>
        <v>广西师范大学物理学</v>
      </c>
      <c r="E68" s="3" t="str">
        <f t="shared" si="11"/>
        <v>本科</v>
      </c>
      <c r="F68" s="3" t="s">
        <v>5</v>
      </c>
      <c r="G68" s="3"/>
    </row>
    <row r="69" spans="1:7" x14ac:dyDescent="0.15">
      <c r="A69" s="2">
        <v>67</v>
      </c>
      <c r="B69" s="3" t="str">
        <f>"李林杰"</f>
        <v>李林杰</v>
      </c>
      <c r="C69" s="3" t="str">
        <f>"男        "</f>
        <v xml:space="preserve">男        </v>
      </c>
      <c r="D69" s="3" t="str">
        <f>"大理大学公共事业管理"</f>
        <v>大理大学公共事业管理</v>
      </c>
      <c r="E69" s="3" t="str">
        <f t="shared" si="11"/>
        <v>本科</v>
      </c>
      <c r="F69" s="3" t="s">
        <v>4</v>
      </c>
      <c r="G69" s="3"/>
    </row>
    <row r="70" spans="1:7" x14ac:dyDescent="0.15">
      <c r="A70" s="2">
        <v>68</v>
      </c>
      <c r="B70" s="3" t="str">
        <f>"朱勋迁"</f>
        <v>朱勋迁</v>
      </c>
      <c r="C70" s="3" t="str">
        <f t="shared" ref="C70:C79" si="12">"女        "</f>
        <v xml:space="preserve">女        </v>
      </c>
      <c r="D70" s="3" t="str">
        <f>"文山学院汉语言文学"</f>
        <v>文山学院汉语言文学</v>
      </c>
      <c r="E70" s="3" t="str">
        <f t="shared" si="11"/>
        <v>本科</v>
      </c>
      <c r="F70" s="3" t="s">
        <v>4</v>
      </c>
      <c r="G70" s="3"/>
    </row>
    <row r="71" spans="1:7" x14ac:dyDescent="0.15">
      <c r="A71" s="2">
        <v>69</v>
      </c>
      <c r="B71" s="3" t="str">
        <f>"许荣勤"</f>
        <v>许荣勤</v>
      </c>
      <c r="C71" s="3" t="str">
        <f t="shared" si="12"/>
        <v xml:space="preserve">女        </v>
      </c>
      <c r="D71" s="3" t="str">
        <f>"贺州学院学前教育"</f>
        <v>贺州学院学前教育</v>
      </c>
      <c r="E71" s="3" t="s">
        <v>10</v>
      </c>
      <c r="F71" s="3" t="s">
        <v>4</v>
      </c>
      <c r="G71" s="3"/>
    </row>
    <row r="72" spans="1:7" x14ac:dyDescent="0.15">
      <c r="A72" s="2">
        <v>70</v>
      </c>
      <c r="B72" s="3" t="str">
        <f>"陈索思"</f>
        <v>陈索思</v>
      </c>
      <c r="C72" s="3" t="str">
        <f t="shared" si="12"/>
        <v xml:space="preserve">女        </v>
      </c>
      <c r="D72" s="3" t="str">
        <f>"广西科技师范学院汉语"</f>
        <v>广西科技师范学院汉语</v>
      </c>
      <c r="E72" s="3" t="s">
        <v>10</v>
      </c>
      <c r="F72" s="3" t="s">
        <v>4</v>
      </c>
      <c r="G72" s="3"/>
    </row>
    <row r="73" spans="1:7" x14ac:dyDescent="0.15">
      <c r="A73" s="2">
        <v>71</v>
      </c>
      <c r="B73" s="3" t="str">
        <f>"卢升苑"</f>
        <v>卢升苑</v>
      </c>
      <c r="C73" s="3" t="str">
        <f t="shared" si="12"/>
        <v xml:space="preserve">女        </v>
      </c>
      <c r="D73" s="3" t="str">
        <f>"滇西科技师范学院数学教育"</f>
        <v>滇西科技师范学院数学教育</v>
      </c>
      <c r="E73" s="3" t="s">
        <v>10</v>
      </c>
      <c r="F73" s="3" t="s">
        <v>5</v>
      </c>
      <c r="G73" s="3"/>
    </row>
    <row r="74" spans="1:7" x14ac:dyDescent="0.15">
      <c r="A74" s="2">
        <v>72</v>
      </c>
      <c r="B74" s="3" t="str">
        <f>"李兰英"</f>
        <v>李兰英</v>
      </c>
      <c r="C74" s="3" t="str">
        <f t="shared" si="12"/>
        <v xml:space="preserve">女        </v>
      </c>
      <c r="D74" s="3" t="str">
        <f>"广西师范学院师园学院国际经济与贸易"</f>
        <v>广西师范学院师园学院国际经济与贸易</v>
      </c>
      <c r="E74" s="3" t="str">
        <f>"本科"</f>
        <v>本科</v>
      </c>
      <c r="F74" s="3" t="s">
        <v>4</v>
      </c>
      <c r="G74" s="3"/>
    </row>
    <row r="75" spans="1:7" x14ac:dyDescent="0.15">
      <c r="A75" s="2">
        <v>73</v>
      </c>
      <c r="B75" s="3" t="str">
        <f>"蒙礼梦"</f>
        <v>蒙礼梦</v>
      </c>
      <c r="C75" s="3" t="str">
        <f t="shared" si="12"/>
        <v xml:space="preserve">女        </v>
      </c>
      <c r="D75" s="3" t="str">
        <f>"普洱学院语文教育"</f>
        <v>普洱学院语文教育</v>
      </c>
      <c r="E75" s="3" t="s">
        <v>10</v>
      </c>
      <c r="F75" s="3" t="s">
        <v>4</v>
      </c>
      <c r="G75" s="3"/>
    </row>
    <row r="76" spans="1:7" x14ac:dyDescent="0.15">
      <c r="A76" s="2">
        <v>74</v>
      </c>
      <c r="B76" s="3" t="str">
        <f>"田友秀"</f>
        <v>田友秀</v>
      </c>
      <c r="C76" s="3" t="str">
        <f t="shared" si="12"/>
        <v xml:space="preserve">女        </v>
      </c>
      <c r="D76" s="3" t="str">
        <f>"西双版纳职业技术学院初等教育"</f>
        <v>西双版纳职业技术学院初等教育</v>
      </c>
      <c r="E76" s="3" t="s">
        <v>10</v>
      </c>
      <c r="F76" s="3" t="s">
        <v>5</v>
      </c>
      <c r="G76" s="3"/>
    </row>
    <row r="77" spans="1:7" x14ac:dyDescent="0.15">
      <c r="A77" s="2">
        <v>75</v>
      </c>
      <c r="B77" s="3" t="str">
        <f>"梁海任"</f>
        <v>梁海任</v>
      </c>
      <c r="C77" s="3" t="str">
        <f t="shared" si="12"/>
        <v xml:space="preserve">女        </v>
      </c>
      <c r="D77" s="3" t="str">
        <f>"广西财经学院人文地理与城乡规划"</f>
        <v>广西财经学院人文地理与城乡规划</v>
      </c>
      <c r="E77" s="3" t="str">
        <f>"本科"</f>
        <v>本科</v>
      </c>
      <c r="F77" s="3" t="s">
        <v>5</v>
      </c>
      <c r="G77" s="3"/>
    </row>
    <row r="78" spans="1:7" x14ac:dyDescent="0.15">
      <c r="A78" s="2">
        <v>76</v>
      </c>
      <c r="B78" s="3" t="str">
        <f>"韦小燕"</f>
        <v>韦小燕</v>
      </c>
      <c r="C78" s="3" t="str">
        <f t="shared" si="12"/>
        <v xml:space="preserve">女        </v>
      </c>
      <c r="D78" s="3" t="str">
        <f>"广西崇左市南宁地区教育学院语文教育"</f>
        <v>广西崇左市南宁地区教育学院语文教育</v>
      </c>
      <c r="E78" s="3" t="s">
        <v>10</v>
      </c>
      <c r="F78" s="3" t="s">
        <v>4</v>
      </c>
      <c r="G78" s="3"/>
    </row>
    <row r="79" spans="1:7" x14ac:dyDescent="0.15">
      <c r="A79" s="2">
        <v>77</v>
      </c>
      <c r="B79" s="3" t="str">
        <f>"谢帮霞"</f>
        <v>谢帮霞</v>
      </c>
      <c r="C79" s="3" t="str">
        <f t="shared" si="12"/>
        <v xml:space="preserve">女        </v>
      </c>
      <c r="D79" s="3" t="str">
        <f>"云南农业大学农学"</f>
        <v>云南农业大学农学</v>
      </c>
      <c r="E79" s="3" t="str">
        <f>"本科"</f>
        <v>本科</v>
      </c>
      <c r="F79" s="3" t="s">
        <v>4</v>
      </c>
      <c r="G79" s="3"/>
    </row>
    <row r="80" spans="1:7" x14ac:dyDescent="0.15">
      <c r="A80" s="2">
        <v>78</v>
      </c>
      <c r="B80" s="3" t="str">
        <f>"黄平赓"</f>
        <v>黄平赓</v>
      </c>
      <c r="C80" s="3" t="str">
        <f>"男        "</f>
        <v xml:space="preserve">男        </v>
      </c>
      <c r="D80" s="3" t="str">
        <f>"百色学院汉语"</f>
        <v>百色学院汉语</v>
      </c>
      <c r="E80" s="3" t="s">
        <v>10</v>
      </c>
      <c r="F80" s="3" t="s">
        <v>4</v>
      </c>
      <c r="G80" s="3"/>
    </row>
    <row r="81" spans="1:7" x14ac:dyDescent="0.15">
      <c r="A81" s="2">
        <v>79</v>
      </c>
      <c r="B81" s="3" t="str">
        <f>"马仪"</f>
        <v>马仪</v>
      </c>
      <c r="C81" s="3" t="str">
        <f>"女        "</f>
        <v xml:space="preserve">女        </v>
      </c>
      <c r="D81" s="3" t="str">
        <f>"普洱学院思想政治教育"</f>
        <v>普洱学院思想政治教育</v>
      </c>
      <c r="E81" s="3" t="s">
        <v>10</v>
      </c>
      <c r="F81" s="3" t="s">
        <v>4</v>
      </c>
      <c r="G81" s="3"/>
    </row>
    <row r="82" spans="1:7" x14ac:dyDescent="0.15">
      <c r="A82" s="2">
        <v>80</v>
      </c>
      <c r="B82" s="3" t="str">
        <f>"罗启翠"</f>
        <v>罗启翠</v>
      </c>
      <c r="C82" s="3" t="str">
        <f>"女        "</f>
        <v xml:space="preserve">女        </v>
      </c>
      <c r="D82" s="3" t="str">
        <f>"滇西科技师范学院初等教育"</f>
        <v>滇西科技师范学院初等教育</v>
      </c>
      <c r="E82" s="3" t="s">
        <v>10</v>
      </c>
      <c r="F82" s="3" t="s">
        <v>4</v>
      </c>
      <c r="G82" s="3"/>
    </row>
    <row r="83" spans="1:7" x14ac:dyDescent="0.15">
      <c r="A83" s="2">
        <v>81</v>
      </c>
      <c r="B83" s="3" t="str">
        <f>"黄秀珍"</f>
        <v>黄秀珍</v>
      </c>
      <c r="C83" s="3" t="str">
        <f>"女        "</f>
        <v xml:space="preserve">女        </v>
      </c>
      <c r="D83" s="3" t="str">
        <f>"贵阳学院物流管理"</f>
        <v>贵阳学院物流管理</v>
      </c>
      <c r="E83" s="3" t="str">
        <f>"本科"</f>
        <v>本科</v>
      </c>
      <c r="F83" s="3" t="s">
        <v>4</v>
      </c>
      <c r="G83" s="3"/>
    </row>
    <row r="84" spans="1:7" x14ac:dyDescent="0.15">
      <c r="A84" s="2">
        <v>82</v>
      </c>
      <c r="B84" s="3" t="str">
        <f>"黄莉"</f>
        <v>黄莉</v>
      </c>
      <c r="C84" s="3" t="str">
        <f>"女        "</f>
        <v xml:space="preserve">女        </v>
      </c>
      <c r="D84" s="3" t="str">
        <f>"德宏师范高等专科学校数学教育"</f>
        <v>德宏师范高等专科学校数学教育</v>
      </c>
      <c r="E84" s="3" t="s">
        <v>10</v>
      </c>
      <c r="F84" s="3" t="s">
        <v>5</v>
      </c>
      <c r="G84" s="3"/>
    </row>
    <row r="85" spans="1:7" x14ac:dyDescent="0.15">
      <c r="A85" s="2">
        <v>83</v>
      </c>
      <c r="B85" s="3" t="str">
        <f>"陆华莲"</f>
        <v>陆华莲</v>
      </c>
      <c r="C85" s="3" t="str">
        <f>"女        "</f>
        <v xml:space="preserve">女        </v>
      </c>
      <c r="D85" s="3" t="str">
        <f>"云南民族大学汉语言文学"</f>
        <v>云南民族大学汉语言文学</v>
      </c>
      <c r="E85" s="3" t="str">
        <f>"本科"</f>
        <v>本科</v>
      </c>
      <c r="F85" s="3" t="s">
        <v>4</v>
      </c>
      <c r="G85" s="3"/>
    </row>
    <row r="86" spans="1:7" x14ac:dyDescent="0.15">
      <c r="A86" s="2">
        <v>84</v>
      </c>
      <c r="B86" s="3" t="str">
        <f>"侯朝信"</f>
        <v>侯朝信</v>
      </c>
      <c r="C86" s="3" t="str">
        <f>"男        "</f>
        <v xml:space="preserve">男        </v>
      </c>
      <c r="D86" s="3" t="str">
        <f>"丽江师范高等专科学校小学教育"</f>
        <v>丽江师范高等专科学校小学教育</v>
      </c>
      <c r="E86" s="3" t="s">
        <v>10</v>
      </c>
      <c r="F86" s="3" t="s">
        <v>5</v>
      </c>
      <c r="G86" s="3"/>
    </row>
    <row r="87" spans="1:7" x14ac:dyDescent="0.15">
      <c r="A87" s="2">
        <v>85</v>
      </c>
      <c r="B87" s="3" t="str">
        <f>"覃星格"</f>
        <v>覃星格</v>
      </c>
      <c r="C87" s="3" t="str">
        <f>"女        "</f>
        <v xml:space="preserve">女        </v>
      </c>
      <c r="D87" s="3" t="str">
        <f>"广西大学电子科学与技术"</f>
        <v>广西大学电子科学与技术</v>
      </c>
      <c r="E87" s="3" t="str">
        <f>"本科"</f>
        <v>本科</v>
      </c>
      <c r="F87" s="3" t="s">
        <v>5</v>
      </c>
      <c r="G87" s="3"/>
    </row>
    <row r="88" spans="1:7" x14ac:dyDescent="0.15">
      <c r="A88" s="2">
        <v>86</v>
      </c>
      <c r="B88" s="3" t="str">
        <f>"黄筱英"</f>
        <v>黄筱英</v>
      </c>
      <c r="C88" s="3" t="str">
        <f>"女        "</f>
        <v xml:space="preserve">女        </v>
      </c>
      <c r="D88" s="3" t="str">
        <f>"广西幼儿师范高等专科学校学前教育"</f>
        <v>广西幼儿师范高等专科学校学前教育</v>
      </c>
      <c r="E88" s="3" t="s">
        <v>10</v>
      </c>
      <c r="F88" s="3" t="s">
        <v>4</v>
      </c>
      <c r="G88" s="3"/>
    </row>
    <row r="89" spans="1:7" x14ac:dyDescent="0.15">
      <c r="A89" s="2">
        <v>87</v>
      </c>
      <c r="B89" s="3" t="str">
        <f>"王有熊"</f>
        <v>王有熊</v>
      </c>
      <c r="C89" s="3" t="str">
        <f>"男        "</f>
        <v xml:space="preserve">男        </v>
      </c>
      <c r="D89" s="3" t="str">
        <f>"德宏师范高等专科学校英语教育"</f>
        <v>德宏师范高等专科学校英语教育</v>
      </c>
      <c r="E89" s="3" t="s">
        <v>10</v>
      </c>
      <c r="F89" s="3" t="s">
        <v>6</v>
      </c>
      <c r="G89" s="3"/>
    </row>
    <row r="90" spans="1:7" x14ac:dyDescent="0.15">
      <c r="A90" s="2">
        <v>88</v>
      </c>
      <c r="B90" s="3" t="str">
        <f>"岳开秀"</f>
        <v>岳开秀</v>
      </c>
      <c r="C90" s="3" t="str">
        <f>"女        "</f>
        <v xml:space="preserve">女        </v>
      </c>
      <c r="D90" s="3" t="str">
        <f>"文山学院体育教育"</f>
        <v>文山学院体育教育</v>
      </c>
      <c r="E90" s="3" t="s">
        <v>10</v>
      </c>
      <c r="F90" s="3" t="s">
        <v>7</v>
      </c>
      <c r="G90" s="3"/>
    </row>
    <row r="91" spans="1:7" x14ac:dyDescent="0.15">
      <c r="A91" s="2">
        <v>89</v>
      </c>
      <c r="B91" s="3" t="str">
        <f>"韦永城"</f>
        <v>韦永城</v>
      </c>
      <c r="C91" s="3" t="str">
        <f>"男        "</f>
        <v xml:space="preserve">男        </v>
      </c>
      <c r="D91" s="3" t="str">
        <f>"临沧师范高等专科学校语文教育"</f>
        <v>临沧师范高等专科学校语文教育</v>
      </c>
      <c r="E91" s="3" t="s">
        <v>10</v>
      </c>
      <c r="F91" s="3" t="s">
        <v>4</v>
      </c>
      <c r="G91" s="3"/>
    </row>
    <row r="92" spans="1:7" x14ac:dyDescent="0.15">
      <c r="A92" s="2">
        <v>90</v>
      </c>
      <c r="B92" s="3" t="str">
        <f>"张锐"</f>
        <v>张锐</v>
      </c>
      <c r="C92" s="3" t="str">
        <f>"女        "</f>
        <v xml:space="preserve">女        </v>
      </c>
      <c r="D92" s="3" t="str">
        <f>"红河学院化学"</f>
        <v>红河学院化学</v>
      </c>
      <c r="E92" s="3" t="str">
        <f>"本科"</f>
        <v>本科</v>
      </c>
      <c r="F92" s="3" t="s">
        <v>5</v>
      </c>
      <c r="G92" s="3"/>
    </row>
    <row r="93" spans="1:7" x14ac:dyDescent="0.15">
      <c r="A93" s="2">
        <v>91</v>
      </c>
      <c r="B93" s="3" t="str">
        <f>"黄雨秋"</f>
        <v>黄雨秋</v>
      </c>
      <c r="C93" s="3" t="str">
        <f>"女        "</f>
        <v xml:space="preserve">女        </v>
      </c>
      <c r="D93" s="3" t="str">
        <f>"百色学院汉语"</f>
        <v>百色学院汉语</v>
      </c>
      <c r="E93" s="3" t="s">
        <v>10</v>
      </c>
      <c r="F93" s="3" t="s">
        <v>4</v>
      </c>
      <c r="G93" s="3"/>
    </row>
    <row r="94" spans="1:7" x14ac:dyDescent="0.15">
      <c r="A94" s="2">
        <v>92</v>
      </c>
      <c r="B94" s="3" t="str">
        <f>"凌莉琴"</f>
        <v>凌莉琴</v>
      </c>
      <c r="C94" s="3" t="str">
        <f>"女        "</f>
        <v xml:space="preserve">女        </v>
      </c>
      <c r="D94" s="3" t="str">
        <f>"广西师范大学法学"</f>
        <v>广西师范大学法学</v>
      </c>
      <c r="E94" s="3" t="str">
        <f>"本科"</f>
        <v>本科</v>
      </c>
      <c r="F94" s="3" t="s">
        <v>5</v>
      </c>
      <c r="G94" s="3"/>
    </row>
    <row r="95" spans="1:7" x14ac:dyDescent="0.15">
      <c r="A95" s="2">
        <v>93</v>
      </c>
      <c r="B95" s="3" t="str">
        <f>"许莲绵"</f>
        <v>许莲绵</v>
      </c>
      <c r="C95" s="3" t="str">
        <f>"女        "</f>
        <v xml:space="preserve">女        </v>
      </c>
      <c r="D95" s="3" t="str">
        <f>"桂林师范高等专科学校音乐教育"</f>
        <v>桂林师范高等专科学校音乐教育</v>
      </c>
      <c r="E95" s="3" t="s">
        <v>10</v>
      </c>
      <c r="F95" s="3" t="s">
        <v>8</v>
      </c>
      <c r="G95" s="3"/>
    </row>
    <row r="96" spans="1:7" x14ac:dyDescent="0.15">
      <c r="A96" s="2">
        <v>94</v>
      </c>
      <c r="B96" s="3" t="str">
        <f>"杨群英"</f>
        <v>杨群英</v>
      </c>
      <c r="C96" s="3" t="str">
        <f>"女        "</f>
        <v xml:space="preserve">女        </v>
      </c>
      <c r="D96" s="3" t="str">
        <f>"百色学院小学教育"</f>
        <v>百色学院小学教育</v>
      </c>
      <c r="E96" s="3" t="s">
        <v>10</v>
      </c>
      <c r="F96" s="3" t="s">
        <v>5</v>
      </c>
      <c r="G96" s="3"/>
    </row>
    <row r="97" spans="1:7" x14ac:dyDescent="0.15">
      <c r="A97" s="2">
        <v>95</v>
      </c>
      <c r="B97" s="3" t="str">
        <f>"何武晟"</f>
        <v>何武晟</v>
      </c>
      <c r="C97" s="3" t="str">
        <f>"男        "</f>
        <v xml:space="preserve">男        </v>
      </c>
      <c r="D97" s="3" t="str">
        <f>"广西科技大学鹿山学院计算机科学与技术"</f>
        <v>广西科技大学鹿山学院计算机科学与技术</v>
      </c>
      <c r="E97" s="3" t="str">
        <f t="shared" ref="E97:E100" si="13">"本科"</f>
        <v>本科</v>
      </c>
      <c r="F97" s="3" t="s">
        <v>9</v>
      </c>
      <c r="G97" s="3"/>
    </row>
    <row r="98" spans="1:7" x14ac:dyDescent="0.15">
      <c r="A98" s="2">
        <v>96</v>
      </c>
      <c r="B98" s="3" t="str">
        <f>"黄校国"</f>
        <v>黄校国</v>
      </c>
      <c r="C98" s="3" t="str">
        <f>"男        "</f>
        <v xml:space="preserve">男        </v>
      </c>
      <c r="D98" s="3" t="str">
        <f>"云南大学旅游文化学院国际经济与贸易"</f>
        <v>云南大学旅游文化学院国际经济与贸易</v>
      </c>
      <c r="E98" s="3" t="str">
        <f t="shared" si="13"/>
        <v>本科</v>
      </c>
      <c r="F98" s="3" t="s">
        <v>4</v>
      </c>
      <c r="G98" s="3"/>
    </row>
    <row r="99" spans="1:7" x14ac:dyDescent="0.15">
      <c r="A99" s="2">
        <v>97</v>
      </c>
      <c r="B99" s="3" t="str">
        <f>"鲜明欢"</f>
        <v>鲜明欢</v>
      </c>
      <c r="C99" s="3" t="str">
        <f>"女        "</f>
        <v xml:space="preserve">女        </v>
      </c>
      <c r="D99" s="3" t="str">
        <f>"楚雄师范学院公共事业管理"</f>
        <v>楚雄师范学院公共事业管理</v>
      </c>
      <c r="E99" s="3" t="str">
        <f t="shared" si="13"/>
        <v>本科</v>
      </c>
      <c r="F99" s="3" t="s">
        <v>4</v>
      </c>
      <c r="G99" s="3"/>
    </row>
    <row r="100" spans="1:7" x14ac:dyDescent="0.15">
      <c r="A100" s="2">
        <v>98</v>
      </c>
      <c r="B100" s="3" t="str">
        <f>"王艳芬"</f>
        <v>王艳芬</v>
      </c>
      <c r="C100" s="3" t="str">
        <f>"女        "</f>
        <v xml:space="preserve">女        </v>
      </c>
      <c r="D100" s="3" t="str">
        <f>"保山学院小学教育"</f>
        <v>保山学院小学教育</v>
      </c>
      <c r="E100" s="3" t="str">
        <f t="shared" si="13"/>
        <v>本科</v>
      </c>
      <c r="F100" s="3" t="s">
        <v>5</v>
      </c>
      <c r="G100" s="3"/>
    </row>
    <row r="101" spans="1:7" x14ac:dyDescent="0.15">
      <c r="A101" s="2">
        <v>99</v>
      </c>
      <c r="B101" s="3" t="str">
        <f>"肖永建"</f>
        <v>肖永建</v>
      </c>
      <c r="C101" s="3" t="str">
        <f>"男        "</f>
        <v xml:space="preserve">男        </v>
      </c>
      <c r="D101" s="3" t="str">
        <f>"德宏师范高等专科学校初等教育"</f>
        <v>德宏师范高等专科学校初等教育</v>
      </c>
      <c r="E101" s="3" t="s">
        <v>10</v>
      </c>
      <c r="F101" s="3" t="s">
        <v>4</v>
      </c>
      <c r="G101" s="3"/>
    </row>
    <row r="102" spans="1:7" x14ac:dyDescent="0.15">
      <c r="A102" s="2">
        <v>100</v>
      </c>
      <c r="B102" s="3" t="str">
        <f>"李娜"</f>
        <v>李娜</v>
      </c>
      <c r="C102" s="3" t="str">
        <f>"女        "</f>
        <v xml:space="preserve">女        </v>
      </c>
      <c r="D102" s="3" t="str">
        <f>"西南林业大学汉语国际教育"</f>
        <v>西南林业大学汉语国际教育</v>
      </c>
      <c r="E102" s="3" t="str">
        <f>"本科"</f>
        <v>本科</v>
      </c>
      <c r="F102" s="3" t="s">
        <v>4</v>
      </c>
      <c r="G102" s="3"/>
    </row>
    <row r="103" spans="1:7" x14ac:dyDescent="0.15">
      <c r="A103" s="2">
        <v>101</v>
      </c>
      <c r="B103" s="3" t="str">
        <f>"张艳菊"</f>
        <v>张艳菊</v>
      </c>
      <c r="C103" s="3" t="str">
        <f>"女        "</f>
        <v xml:space="preserve">女        </v>
      </c>
      <c r="D103" s="3" t="str">
        <f>"文山学院初等教育"</f>
        <v>文山学院初等教育</v>
      </c>
      <c r="E103" s="3" t="s">
        <v>10</v>
      </c>
      <c r="F103" s="3" t="s">
        <v>4</v>
      </c>
      <c r="G103" s="3"/>
    </row>
    <row r="104" spans="1:7" x14ac:dyDescent="0.15">
      <c r="A104" s="2">
        <v>102</v>
      </c>
      <c r="B104" s="3" t="str">
        <f>"刘康智"</f>
        <v>刘康智</v>
      </c>
      <c r="C104" s="3" t="str">
        <f>"男        "</f>
        <v xml:space="preserve">男        </v>
      </c>
      <c r="D104" s="3" t="str">
        <f>"德宏师专高等专科学校历史教育"</f>
        <v>德宏师专高等专科学校历史教育</v>
      </c>
      <c r="E104" s="3" t="s">
        <v>10</v>
      </c>
      <c r="F104" s="3" t="s">
        <v>4</v>
      </c>
      <c r="G104" s="3"/>
    </row>
    <row r="105" spans="1:7" x14ac:dyDescent="0.15">
      <c r="A105" s="2">
        <v>103</v>
      </c>
      <c r="B105" s="3" t="str">
        <f>"岑桢"</f>
        <v>岑桢</v>
      </c>
      <c r="C105" s="3" t="str">
        <f>"女        "</f>
        <v xml:space="preserve">女        </v>
      </c>
      <c r="D105" s="3" t="str">
        <f>"钦州学院应用心理学"</f>
        <v>钦州学院应用心理学</v>
      </c>
      <c r="E105" s="3" t="str">
        <f t="shared" ref="E105:E107" si="14">"本科"</f>
        <v>本科</v>
      </c>
      <c r="F105" s="3" t="s">
        <v>4</v>
      </c>
      <c r="G105" s="3"/>
    </row>
    <row r="106" spans="1:7" x14ac:dyDescent="0.15">
      <c r="A106" s="2">
        <v>104</v>
      </c>
      <c r="B106" s="3" t="str">
        <f>"黄莉莉"</f>
        <v>黄莉莉</v>
      </c>
      <c r="C106" s="3" t="str">
        <f>"女        "</f>
        <v xml:space="preserve">女        </v>
      </c>
      <c r="D106" s="3" t="str">
        <f>"广西大学行健文理学院会计学"</f>
        <v>广西大学行健文理学院会计学</v>
      </c>
      <c r="E106" s="3" t="str">
        <f t="shared" si="14"/>
        <v>本科</v>
      </c>
      <c r="F106" s="3" t="s">
        <v>5</v>
      </c>
      <c r="G106" s="3"/>
    </row>
    <row r="107" spans="1:7" x14ac:dyDescent="0.15">
      <c r="A107" s="2">
        <v>105</v>
      </c>
      <c r="B107" s="3" t="str">
        <f>"艾开祥"</f>
        <v>艾开祥</v>
      </c>
      <c r="C107" s="3" t="str">
        <f>"男        "</f>
        <v xml:space="preserve">男        </v>
      </c>
      <c r="D107" s="3" t="str">
        <f>"云南师范大学文理学院数学与应用数学"</f>
        <v>云南师范大学文理学院数学与应用数学</v>
      </c>
      <c r="E107" s="3" t="str">
        <f t="shared" si="14"/>
        <v>本科</v>
      </c>
      <c r="F107" s="3" t="s">
        <v>5</v>
      </c>
      <c r="G107" s="3"/>
    </row>
    <row r="108" spans="1:7" x14ac:dyDescent="0.15">
      <c r="A108" s="2">
        <v>106</v>
      </c>
      <c r="B108" s="3" t="str">
        <f>"陈宝国"</f>
        <v>陈宝国</v>
      </c>
      <c r="C108" s="3" t="str">
        <f>"男        "</f>
        <v xml:space="preserve">男        </v>
      </c>
      <c r="D108" s="3" t="str">
        <f>"云南省德宏师范高等专科学校语文教育"</f>
        <v>云南省德宏师范高等专科学校语文教育</v>
      </c>
      <c r="E108" s="3" t="s">
        <v>10</v>
      </c>
      <c r="F108" s="3" t="s">
        <v>4</v>
      </c>
      <c r="G108" s="3"/>
    </row>
    <row r="109" spans="1:7" x14ac:dyDescent="0.15">
      <c r="A109" s="2">
        <v>107</v>
      </c>
      <c r="B109" s="3" t="str">
        <f>"韦兰集"</f>
        <v>韦兰集</v>
      </c>
      <c r="C109" s="3" t="str">
        <f>"女        "</f>
        <v xml:space="preserve">女        </v>
      </c>
      <c r="D109" s="3" t="str">
        <f>"广西工业职业技术学院学前教育"</f>
        <v>广西工业职业技术学院学前教育</v>
      </c>
      <c r="E109" s="3" t="s">
        <v>10</v>
      </c>
      <c r="F109" s="3" t="s">
        <v>5</v>
      </c>
      <c r="G109" s="3"/>
    </row>
    <row r="110" spans="1:7" x14ac:dyDescent="0.15">
      <c r="A110" s="2">
        <v>108</v>
      </c>
      <c r="B110" s="3" t="str">
        <f>"王宏"</f>
        <v>王宏</v>
      </c>
      <c r="C110" s="3" t="str">
        <f>"男        "</f>
        <v xml:space="preserve">男        </v>
      </c>
      <c r="D110" s="3" t="str">
        <f>"南宁地区教育学院语文教育"</f>
        <v>南宁地区教育学院语文教育</v>
      </c>
      <c r="E110" s="3" t="s">
        <v>10</v>
      </c>
      <c r="F110" s="3" t="s">
        <v>4</v>
      </c>
      <c r="G110" s="3"/>
    </row>
    <row r="111" spans="1:7" x14ac:dyDescent="0.15">
      <c r="A111" s="2">
        <v>109</v>
      </c>
      <c r="B111" s="3" t="str">
        <f>"刘芳"</f>
        <v>刘芳</v>
      </c>
      <c r="C111" s="3" t="str">
        <f>"女        "</f>
        <v xml:space="preserve">女        </v>
      </c>
      <c r="D111" s="3" t="str">
        <f>"中国地质大学长城学院工程管理"</f>
        <v>中国地质大学长城学院工程管理</v>
      </c>
      <c r="E111" s="3" t="str">
        <f>"本科"</f>
        <v>本科</v>
      </c>
      <c r="F111" s="3" t="s">
        <v>5</v>
      </c>
      <c r="G111" s="3"/>
    </row>
    <row r="112" spans="1:7" x14ac:dyDescent="0.15">
      <c r="A112" s="2">
        <v>110</v>
      </c>
      <c r="B112" s="3" t="str">
        <f>"杨大春"</f>
        <v>杨大春</v>
      </c>
      <c r="C112" s="3" t="str">
        <f>"女        "</f>
        <v xml:space="preserve">女        </v>
      </c>
      <c r="D112" s="3" t="str">
        <f>"德宏师范高等专科学校初等教育"</f>
        <v>德宏师范高等专科学校初等教育</v>
      </c>
      <c r="E112" s="3" t="s">
        <v>10</v>
      </c>
      <c r="F112" s="3" t="s">
        <v>4</v>
      </c>
      <c r="G112" s="3"/>
    </row>
    <row r="113" spans="1:7" x14ac:dyDescent="0.15">
      <c r="A113" s="2">
        <v>111</v>
      </c>
      <c r="B113" s="3" t="str">
        <f>"刘玉娟"</f>
        <v>刘玉娟</v>
      </c>
      <c r="C113" s="3" t="str">
        <f>"女        "</f>
        <v xml:space="preserve">女        </v>
      </c>
      <c r="D113" s="3" t="str">
        <f>"百色学院汉语"</f>
        <v>百色学院汉语</v>
      </c>
      <c r="E113" s="3" t="s">
        <v>10</v>
      </c>
      <c r="F113" s="3" t="s">
        <v>4</v>
      </c>
      <c r="G113" s="3"/>
    </row>
    <row r="114" spans="1:7" x14ac:dyDescent="0.15">
      <c r="A114" s="2">
        <v>112</v>
      </c>
      <c r="B114" s="3" t="str">
        <f>"黄杰"</f>
        <v>黄杰</v>
      </c>
      <c r="C114" s="3" t="str">
        <f>"男        "</f>
        <v xml:space="preserve">男        </v>
      </c>
      <c r="D114" s="3" t="str">
        <f>"滇西科技师范学院初等教育"</f>
        <v>滇西科技师范学院初等教育</v>
      </c>
      <c r="E114" s="3" t="s">
        <v>10</v>
      </c>
      <c r="F114" s="3" t="s">
        <v>5</v>
      </c>
      <c r="G114" s="3"/>
    </row>
    <row r="115" spans="1:7" x14ac:dyDescent="0.15">
      <c r="A115" s="2">
        <v>113</v>
      </c>
      <c r="B115" s="3" t="str">
        <f>"张红彩"</f>
        <v>张红彩</v>
      </c>
      <c r="C115" s="3" t="str">
        <f t="shared" ref="C115:C126" si="15">"女        "</f>
        <v xml:space="preserve">女        </v>
      </c>
      <c r="D115" s="3" t="str">
        <f>"云南农业大学食品质量与安全"</f>
        <v>云南农业大学食品质量与安全</v>
      </c>
      <c r="E115" s="3" t="str">
        <f t="shared" ref="E115:E118" si="16">"本科"</f>
        <v>本科</v>
      </c>
      <c r="F115" s="3" t="s">
        <v>5</v>
      </c>
      <c r="G115" s="3"/>
    </row>
    <row r="116" spans="1:7" x14ac:dyDescent="0.15">
      <c r="A116" s="2">
        <v>114</v>
      </c>
      <c r="B116" s="3" t="str">
        <f>"黄凤香"</f>
        <v>黄凤香</v>
      </c>
      <c r="C116" s="3" t="str">
        <f t="shared" si="15"/>
        <v xml:space="preserve">女        </v>
      </c>
      <c r="D116" s="3" t="str">
        <f>"广西师范学院国际经济与贸易"</f>
        <v>广西师范学院国际经济与贸易</v>
      </c>
      <c r="E116" s="3" t="str">
        <f t="shared" si="16"/>
        <v>本科</v>
      </c>
      <c r="F116" s="3" t="s">
        <v>4</v>
      </c>
      <c r="G116" s="3"/>
    </row>
    <row r="117" spans="1:7" x14ac:dyDescent="0.15">
      <c r="A117" s="2">
        <v>115</v>
      </c>
      <c r="B117" s="3" t="str">
        <f>"王艳"</f>
        <v>王艳</v>
      </c>
      <c r="C117" s="3" t="str">
        <f t="shared" si="15"/>
        <v xml:space="preserve">女        </v>
      </c>
      <c r="D117" s="3" t="str">
        <f>"文山学院计算机科学与技术"</f>
        <v>文山学院计算机科学与技术</v>
      </c>
      <c r="E117" s="3" t="str">
        <f t="shared" si="16"/>
        <v>本科</v>
      </c>
      <c r="F117" s="3" t="s">
        <v>9</v>
      </c>
      <c r="G117" s="3"/>
    </row>
    <row r="118" spans="1:7" x14ac:dyDescent="0.15">
      <c r="A118" s="2">
        <v>116</v>
      </c>
      <c r="B118" s="3" t="str">
        <f>"廖豆豆"</f>
        <v>廖豆豆</v>
      </c>
      <c r="C118" s="3" t="str">
        <f t="shared" si="15"/>
        <v xml:space="preserve">女        </v>
      </c>
      <c r="D118" s="3" t="str">
        <f>"广西师范大学计算机科学与技术"</f>
        <v>广西师范大学计算机科学与技术</v>
      </c>
      <c r="E118" s="3" t="str">
        <f t="shared" si="16"/>
        <v>本科</v>
      </c>
      <c r="F118" s="3" t="s">
        <v>9</v>
      </c>
      <c r="G118" s="3"/>
    </row>
    <row r="119" spans="1:7" x14ac:dyDescent="0.15">
      <c r="A119" s="2">
        <v>117</v>
      </c>
      <c r="B119" s="3" t="str">
        <f>"尹管茹"</f>
        <v>尹管茹</v>
      </c>
      <c r="C119" s="3" t="str">
        <f t="shared" si="15"/>
        <v xml:space="preserve">女        </v>
      </c>
      <c r="D119" s="3" t="str">
        <f>"广西工业职业技术学院语文教育"</f>
        <v>广西工业职业技术学院语文教育</v>
      </c>
      <c r="E119" s="3" t="s">
        <v>10</v>
      </c>
      <c r="F119" s="3" t="s">
        <v>4</v>
      </c>
      <c r="G119" s="3"/>
    </row>
    <row r="120" spans="1:7" x14ac:dyDescent="0.15">
      <c r="A120" s="2">
        <v>118</v>
      </c>
      <c r="B120" s="3" t="str">
        <f>"周艳茶"</f>
        <v>周艳茶</v>
      </c>
      <c r="C120" s="3" t="str">
        <f t="shared" si="15"/>
        <v xml:space="preserve">女        </v>
      </c>
      <c r="D120" s="3" t="str">
        <f>"桂林师范高等专科学校数学教育"</f>
        <v>桂林师范高等专科学校数学教育</v>
      </c>
      <c r="E120" s="3" t="s">
        <v>10</v>
      </c>
      <c r="F120" s="3" t="s">
        <v>5</v>
      </c>
      <c r="G120" s="3"/>
    </row>
    <row r="121" spans="1:7" x14ac:dyDescent="0.15">
      <c r="A121" s="2">
        <v>119</v>
      </c>
      <c r="B121" s="3" t="str">
        <f>"马孝丽"</f>
        <v>马孝丽</v>
      </c>
      <c r="C121" s="3" t="str">
        <f t="shared" si="15"/>
        <v xml:space="preserve">女        </v>
      </c>
      <c r="D121" s="3" t="str">
        <f>"中央民族大学广告学"</f>
        <v>中央民族大学广告学</v>
      </c>
      <c r="E121" s="3" t="str">
        <f>"本科"</f>
        <v>本科</v>
      </c>
      <c r="F121" s="3" t="s">
        <v>4</v>
      </c>
      <c r="G121" s="3"/>
    </row>
    <row r="122" spans="1:7" x14ac:dyDescent="0.15">
      <c r="A122" s="2">
        <v>120</v>
      </c>
      <c r="B122" s="3" t="str">
        <f>"何钦玲"</f>
        <v>何钦玲</v>
      </c>
      <c r="C122" s="3" t="str">
        <f t="shared" si="15"/>
        <v xml:space="preserve">女        </v>
      </c>
      <c r="D122" s="3" t="str">
        <f>"广西财经学院农村区域发展"</f>
        <v>广西财经学院农村区域发展</v>
      </c>
      <c r="E122" s="3" t="str">
        <f>"本科"</f>
        <v>本科</v>
      </c>
      <c r="F122" s="3" t="s">
        <v>5</v>
      </c>
      <c r="G122" s="3"/>
    </row>
    <row r="123" spans="1:7" x14ac:dyDescent="0.15">
      <c r="A123" s="2">
        <v>121</v>
      </c>
      <c r="B123" s="3" t="str">
        <f>"郭路平"</f>
        <v>郭路平</v>
      </c>
      <c r="C123" s="3" t="str">
        <f t="shared" si="15"/>
        <v xml:space="preserve">女        </v>
      </c>
      <c r="D123" s="3" t="str">
        <f>"楚雄师范学院小学教育"</f>
        <v>楚雄师范学院小学教育</v>
      </c>
      <c r="E123" s="3" t="str">
        <f t="shared" ref="E123:E128" si="17">"本科"</f>
        <v>本科</v>
      </c>
      <c r="F123" s="3" t="s">
        <v>4</v>
      </c>
      <c r="G123" s="3"/>
    </row>
    <row r="124" spans="1:7" x14ac:dyDescent="0.15">
      <c r="A124" s="2">
        <v>122</v>
      </c>
      <c r="B124" s="3" t="str">
        <f>"潘娅楠"</f>
        <v>潘娅楠</v>
      </c>
      <c r="C124" s="3" t="str">
        <f t="shared" si="15"/>
        <v xml:space="preserve">女        </v>
      </c>
      <c r="D124" s="3" t="str">
        <f>"云南师范大学文理学院汉语言文学"</f>
        <v>云南师范大学文理学院汉语言文学</v>
      </c>
      <c r="E124" s="3" t="str">
        <f t="shared" si="17"/>
        <v>本科</v>
      </c>
      <c r="F124" s="3" t="s">
        <v>4</v>
      </c>
      <c r="G124" s="3"/>
    </row>
    <row r="125" spans="1:7" x14ac:dyDescent="0.15">
      <c r="A125" s="2">
        <v>123</v>
      </c>
      <c r="B125" s="3" t="str">
        <f>"王凤英"</f>
        <v>王凤英</v>
      </c>
      <c r="C125" s="3" t="str">
        <f t="shared" si="15"/>
        <v xml:space="preserve">女        </v>
      </c>
      <c r="D125" s="3" t="str">
        <f>"云南财经大学财政学"</f>
        <v>云南财经大学财政学</v>
      </c>
      <c r="E125" s="3" t="str">
        <f t="shared" si="17"/>
        <v>本科</v>
      </c>
      <c r="F125" s="3" t="s">
        <v>5</v>
      </c>
      <c r="G125" s="3"/>
    </row>
    <row r="126" spans="1:7" x14ac:dyDescent="0.15">
      <c r="A126" s="2">
        <v>124</v>
      </c>
      <c r="B126" s="3" t="str">
        <f>"黄月莺"</f>
        <v>黄月莺</v>
      </c>
      <c r="C126" s="3" t="str">
        <f t="shared" si="15"/>
        <v xml:space="preserve">女        </v>
      </c>
      <c r="D126" s="3" t="str">
        <f>"中南民族大学民族学"</f>
        <v>中南民族大学民族学</v>
      </c>
      <c r="E126" s="3" t="str">
        <f t="shared" si="17"/>
        <v>本科</v>
      </c>
      <c r="F126" s="3" t="s">
        <v>4</v>
      </c>
      <c r="G126" s="3"/>
    </row>
    <row r="127" spans="1:7" x14ac:dyDescent="0.15">
      <c r="A127" s="2">
        <v>125</v>
      </c>
      <c r="B127" s="3" t="str">
        <f>"李忠发"</f>
        <v>李忠发</v>
      </c>
      <c r="C127" s="3" t="str">
        <f>"男        "</f>
        <v xml:space="preserve">男        </v>
      </c>
      <c r="D127" s="3" t="str">
        <f>"红河学院电气工程及其自动化"</f>
        <v>红河学院电气工程及其自动化</v>
      </c>
      <c r="E127" s="3" t="str">
        <f t="shared" si="17"/>
        <v>本科</v>
      </c>
      <c r="F127" s="3" t="s">
        <v>5</v>
      </c>
      <c r="G127" s="3"/>
    </row>
    <row r="128" spans="1:7" x14ac:dyDescent="0.15">
      <c r="A128" s="2">
        <v>126</v>
      </c>
      <c r="B128" s="3" t="str">
        <f>"农彩梅"</f>
        <v>农彩梅</v>
      </c>
      <c r="C128" s="3" t="str">
        <f>"女        "</f>
        <v xml:space="preserve">女        </v>
      </c>
      <c r="D128" s="3" t="str">
        <f>"广西师范学院师园学院小学教育"</f>
        <v>广西师范学院师园学院小学教育</v>
      </c>
      <c r="E128" s="3" t="str">
        <f t="shared" si="17"/>
        <v>本科</v>
      </c>
      <c r="F128" s="3" t="s">
        <v>5</v>
      </c>
      <c r="G128" s="3"/>
    </row>
    <row r="129" spans="1:7" x14ac:dyDescent="0.15">
      <c r="A129" s="2">
        <v>127</v>
      </c>
      <c r="B129" s="3" t="str">
        <f>"岑汐"</f>
        <v>岑汐</v>
      </c>
      <c r="C129" s="3" t="str">
        <f>"女        "</f>
        <v xml:space="preserve">女        </v>
      </c>
      <c r="D129" s="3" t="str">
        <f>"广西科技师范学院汉语"</f>
        <v>广西科技师范学院汉语</v>
      </c>
      <c r="E129" s="3" t="s">
        <v>10</v>
      </c>
      <c r="F129" s="3" t="s">
        <v>4</v>
      </c>
      <c r="G129" s="3"/>
    </row>
    <row r="130" spans="1:7" x14ac:dyDescent="0.15">
      <c r="A130" s="2">
        <v>128</v>
      </c>
      <c r="B130" s="3" t="str">
        <f>"黄彩荣"</f>
        <v>黄彩荣</v>
      </c>
      <c r="C130" s="3" t="str">
        <f>"女        "</f>
        <v xml:space="preserve">女        </v>
      </c>
      <c r="D130" s="3" t="str">
        <f>"广西师范学院旅游管理"</f>
        <v>广西师范学院旅游管理</v>
      </c>
      <c r="E130" s="3" t="str">
        <f t="shared" ref="E130:E131" si="18">"本科"</f>
        <v>本科</v>
      </c>
      <c r="F130" s="3" t="s">
        <v>5</v>
      </c>
      <c r="G130" s="3"/>
    </row>
    <row r="131" spans="1:7" x14ac:dyDescent="0.15">
      <c r="A131" s="2">
        <v>129</v>
      </c>
      <c r="B131" s="3" t="str">
        <f>"梁文杰"</f>
        <v>梁文杰</v>
      </c>
      <c r="C131" s="3" t="str">
        <f>"男        "</f>
        <v xml:space="preserve">男        </v>
      </c>
      <c r="D131" s="3" t="str">
        <f>"成都中医药大学体育教育"</f>
        <v>成都中医药大学体育教育</v>
      </c>
      <c r="E131" s="3" t="str">
        <f t="shared" si="18"/>
        <v>本科</v>
      </c>
      <c r="F131" s="3" t="s">
        <v>7</v>
      </c>
      <c r="G131" s="3"/>
    </row>
    <row r="132" spans="1:7" x14ac:dyDescent="0.15">
      <c r="A132" s="2">
        <v>130</v>
      </c>
      <c r="B132" s="3" t="str">
        <f>"黄庆"</f>
        <v>黄庆</v>
      </c>
      <c r="C132" s="3" t="str">
        <f>"男        "</f>
        <v xml:space="preserve">男        </v>
      </c>
      <c r="D132" s="3" t="str">
        <f>"文山学院初等教育"</f>
        <v>文山学院初等教育</v>
      </c>
      <c r="E132" s="3" t="s">
        <v>10</v>
      </c>
      <c r="F132" s="3" t="s">
        <v>4</v>
      </c>
      <c r="G132" s="3"/>
    </row>
    <row r="133" spans="1:7" x14ac:dyDescent="0.15">
      <c r="A133" s="2">
        <v>131</v>
      </c>
      <c r="B133" s="3" t="str">
        <f>"谢丽桃"</f>
        <v>谢丽桃</v>
      </c>
      <c r="C133" s="3" t="str">
        <f>"女        "</f>
        <v xml:space="preserve">女        </v>
      </c>
      <c r="D133" s="3" t="str">
        <f>"广西师范学院师园学院汉语言文学"</f>
        <v>广西师范学院师园学院汉语言文学</v>
      </c>
      <c r="E133" s="3" t="str">
        <f t="shared" ref="E133:E134" si="19">"本科"</f>
        <v>本科</v>
      </c>
      <c r="F133" s="3" t="s">
        <v>4</v>
      </c>
      <c r="G133" s="3"/>
    </row>
    <row r="134" spans="1:7" x14ac:dyDescent="0.15">
      <c r="A134" s="2">
        <v>132</v>
      </c>
      <c r="B134" s="3" t="str">
        <f>"罗西"</f>
        <v>罗西</v>
      </c>
      <c r="C134" s="3" t="str">
        <f>"女        "</f>
        <v xml:space="preserve">女        </v>
      </c>
      <c r="D134" s="3" t="str">
        <f>"曲靖师范学院会计学"</f>
        <v>曲靖师范学院会计学</v>
      </c>
      <c r="E134" s="3" t="str">
        <f t="shared" si="19"/>
        <v>本科</v>
      </c>
      <c r="F134" s="3" t="s">
        <v>5</v>
      </c>
      <c r="G134" s="3"/>
    </row>
    <row r="135" spans="1:7" x14ac:dyDescent="0.15">
      <c r="A135" s="2">
        <v>133</v>
      </c>
      <c r="B135" s="3" t="str">
        <f>"岑思缘"</f>
        <v>岑思缘</v>
      </c>
      <c r="C135" s="3" t="str">
        <f>"女        "</f>
        <v xml:space="preserve">女        </v>
      </c>
      <c r="D135" s="3" t="str">
        <f>"景德镇学院现代教育技术"</f>
        <v>景德镇学院现代教育技术</v>
      </c>
      <c r="E135" s="3" t="s">
        <v>10</v>
      </c>
      <c r="F135" s="3" t="s">
        <v>9</v>
      </c>
      <c r="G135" s="3"/>
    </row>
    <row r="136" spans="1:7" x14ac:dyDescent="0.15">
      <c r="A136" s="2">
        <v>134</v>
      </c>
      <c r="B136" s="3" t="str">
        <f>"陆丰利"</f>
        <v>陆丰利</v>
      </c>
      <c r="C136" s="3" t="str">
        <f>"女        "</f>
        <v xml:space="preserve">女        </v>
      </c>
      <c r="D136" s="3" t="str">
        <f>"河池学院行政管理"</f>
        <v>河池学院行政管理</v>
      </c>
      <c r="E136" s="3" t="str">
        <f t="shared" ref="E136:E139" si="20">"本科"</f>
        <v>本科</v>
      </c>
      <c r="F136" s="3" t="s">
        <v>5</v>
      </c>
      <c r="G136" s="3"/>
    </row>
    <row r="137" spans="1:7" x14ac:dyDescent="0.15">
      <c r="A137" s="2">
        <v>135</v>
      </c>
      <c r="B137" s="3" t="str">
        <f>"刘东根"</f>
        <v>刘东根</v>
      </c>
      <c r="C137" s="3" t="str">
        <f>"男        "</f>
        <v xml:space="preserve">男        </v>
      </c>
      <c r="D137" s="3" t="str">
        <f>"云南省德宏师范高等专科学校思想政治教育"</f>
        <v>云南省德宏师范高等专科学校思想政治教育</v>
      </c>
      <c r="E137" s="3" t="str">
        <f t="shared" si="20"/>
        <v>本科</v>
      </c>
      <c r="F137" s="3" t="s">
        <v>5</v>
      </c>
      <c r="G137" s="3"/>
    </row>
    <row r="138" spans="1:7" x14ac:dyDescent="0.15">
      <c r="A138" s="2">
        <v>136</v>
      </c>
      <c r="B138" s="3" t="str">
        <f>"施梦妮"</f>
        <v>施梦妮</v>
      </c>
      <c r="C138" s="3" t="str">
        <f t="shared" ref="C138:C147" si="21">"女        "</f>
        <v xml:space="preserve">女        </v>
      </c>
      <c r="D138" s="3" t="str">
        <f>"桂林理工大学国际经济与贸易"</f>
        <v>桂林理工大学国际经济与贸易</v>
      </c>
      <c r="E138" s="3" t="str">
        <f t="shared" si="20"/>
        <v>本科</v>
      </c>
      <c r="F138" s="3" t="s">
        <v>4</v>
      </c>
      <c r="G138" s="3"/>
    </row>
    <row r="139" spans="1:7" x14ac:dyDescent="0.15">
      <c r="A139" s="2">
        <v>137</v>
      </c>
      <c r="B139" s="3" t="str">
        <f>"刘丽萍"</f>
        <v>刘丽萍</v>
      </c>
      <c r="C139" s="3" t="str">
        <f t="shared" si="21"/>
        <v xml:space="preserve">女        </v>
      </c>
      <c r="D139" s="3" t="str">
        <f>"广西师范学院信息管理与信息系统"</f>
        <v>广西师范学院信息管理与信息系统</v>
      </c>
      <c r="E139" s="3" t="str">
        <f t="shared" si="20"/>
        <v>本科</v>
      </c>
      <c r="F139" s="3" t="s">
        <v>5</v>
      </c>
      <c r="G139" s="3"/>
    </row>
    <row r="140" spans="1:7" x14ac:dyDescent="0.15">
      <c r="A140" s="2">
        <v>138</v>
      </c>
      <c r="B140" s="3" t="str">
        <f>"龙胜仙"</f>
        <v>龙胜仙</v>
      </c>
      <c r="C140" s="3" t="str">
        <f t="shared" si="21"/>
        <v xml:space="preserve">女        </v>
      </c>
      <c r="D140" s="3" t="str">
        <f>"广西教育学院初等教育"</f>
        <v>广西教育学院初等教育</v>
      </c>
      <c r="E140" s="3" t="s">
        <v>10</v>
      </c>
      <c r="F140" s="3" t="s">
        <v>5</v>
      </c>
      <c r="G140" s="3"/>
    </row>
    <row r="141" spans="1:7" x14ac:dyDescent="0.15">
      <c r="A141" s="2">
        <v>139</v>
      </c>
      <c r="B141" s="3" t="str">
        <f>"韦祥美"</f>
        <v>韦祥美</v>
      </c>
      <c r="C141" s="3" t="str">
        <f t="shared" si="21"/>
        <v xml:space="preserve">女        </v>
      </c>
      <c r="D141" s="3" t="str">
        <f>"丽江师范高等专科学校思想政治教育"</f>
        <v>丽江师范高等专科学校思想政治教育</v>
      </c>
      <c r="E141" s="3" t="s">
        <v>10</v>
      </c>
      <c r="F141" s="3" t="s">
        <v>4</v>
      </c>
      <c r="G141" s="3"/>
    </row>
    <row r="142" spans="1:7" x14ac:dyDescent="0.15">
      <c r="A142" s="2">
        <v>140</v>
      </c>
      <c r="B142" s="3" t="str">
        <f>"郭玉情"</f>
        <v>郭玉情</v>
      </c>
      <c r="C142" s="3" t="str">
        <f t="shared" si="21"/>
        <v xml:space="preserve">女        </v>
      </c>
      <c r="D142" s="3" t="str">
        <f>"南宁地区教育学院小学语文"</f>
        <v>南宁地区教育学院小学语文</v>
      </c>
      <c r="E142" s="3" t="s">
        <v>10</v>
      </c>
      <c r="F142" s="3" t="s">
        <v>4</v>
      </c>
      <c r="G142" s="3"/>
    </row>
    <row r="143" spans="1:7" x14ac:dyDescent="0.15">
      <c r="A143" s="2">
        <v>141</v>
      </c>
      <c r="B143" s="3" t="str">
        <f>"禹红丽"</f>
        <v>禹红丽</v>
      </c>
      <c r="C143" s="3" t="str">
        <f t="shared" si="21"/>
        <v xml:space="preserve">女        </v>
      </c>
      <c r="D143" s="3" t="str">
        <f>"曲靖师范学院软件工程"</f>
        <v>曲靖师范学院软件工程</v>
      </c>
      <c r="E143" s="3" t="str">
        <f t="shared" ref="E143:E147" si="22">"本科"</f>
        <v>本科</v>
      </c>
      <c r="F143" s="3" t="s">
        <v>9</v>
      </c>
      <c r="G143" s="3"/>
    </row>
    <row r="144" spans="1:7" x14ac:dyDescent="0.15">
      <c r="A144" s="2">
        <v>142</v>
      </c>
      <c r="B144" s="3" t="str">
        <f>"黄月柳"</f>
        <v>黄月柳</v>
      </c>
      <c r="C144" s="3" t="str">
        <f t="shared" si="21"/>
        <v xml:space="preserve">女        </v>
      </c>
      <c r="D144" s="3" t="str">
        <f>"广西师范学院汉语言文学"</f>
        <v>广西师范学院汉语言文学</v>
      </c>
      <c r="E144" s="3" t="str">
        <f t="shared" si="22"/>
        <v>本科</v>
      </c>
      <c r="F144" s="3" t="s">
        <v>4</v>
      </c>
      <c r="G144" s="3"/>
    </row>
    <row r="145" spans="1:7" x14ac:dyDescent="0.15">
      <c r="A145" s="2">
        <v>143</v>
      </c>
      <c r="B145" s="3" t="str">
        <f>"黄香练"</f>
        <v>黄香练</v>
      </c>
      <c r="C145" s="3" t="str">
        <f t="shared" si="21"/>
        <v xml:space="preserve">女        </v>
      </c>
      <c r="D145" s="3" t="str">
        <f>"广西师范学院公共事业管理"</f>
        <v>广西师范学院公共事业管理</v>
      </c>
      <c r="E145" s="3" t="str">
        <f t="shared" si="22"/>
        <v>本科</v>
      </c>
      <c r="F145" s="3" t="s">
        <v>4</v>
      </c>
      <c r="G145" s="3"/>
    </row>
    <row r="146" spans="1:7" x14ac:dyDescent="0.15">
      <c r="A146" s="2">
        <v>144</v>
      </c>
      <c r="B146" s="3" t="str">
        <f>"黄莹"</f>
        <v>黄莹</v>
      </c>
      <c r="C146" s="3" t="str">
        <f t="shared" si="21"/>
        <v xml:space="preserve">女        </v>
      </c>
      <c r="D146" s="3" t="str">
        <f>"广西财经学院金融学"</f>
        <v>广西财经学院金融学</v>
      </c>
      <c r="E146" s="3" t="str">
        <f t="shared" si="22"/>
        <v>本科</v>
      </c>
      <c r="F146" s="3" t="s">
        <v>5</v>
      </c>
      <c r="G146" s="3"/>
    </row>
    <row r="147" spans="1:7" x14ac:dyDescent="0.15">
      <c r="A147" s="2">
        <v>145</v>
      </c>
      <c r="B147" s="3" t="str">
        <f>"卢春会"</f>
        <v>卢春会</v>
      </c>
      <c r="C147" s="3" t="str">
        <f t="shared" si="21"/>
        <v xml:space="preserve">女        </v>
      </c>
      <c r="D147" s="3" t="str">
        <f>"玉溪师范学院小学教育"</f>
        <v>玉溪师范学院小学教育</v>
      </c>
      <c r="E147" s="3" t="str">
        <f t="shared" si="22"/>
        <v>本科</v>
      </c>
      <c r="F147" s="3" t="s">
        <v>5</v>
      </c>
      <c r="G147" s="3"/>
    </row>
    <row r="148" spans="1:7" x14ac:dyDescent="0.15">
      <c r="A148" s="2">
        <v>146</v>
      </c>
      <c r="B148" s="3" t="str">
        <f>"贺龙"</f>
        <v>贺龙</v>
      </c>
      <c r="C148" s="3" t="str">
        <f>"男        "</f>
        <v xml:space="preserve">男        </v>
      </c>
      <c r="D148" s="3" t="str">
        <f>"德宏师范高等专科学校语文教育"</f>
        <v>德宏师范高等专科学校语文教育</v>
      </c>
      <c r="E148" s="3" t="s">
        <v>10</v>
      </c>
      <c r="F148" s="3" t="s">
        <v>4</v>
      </c>
      <c r="G148" s="3"/>
    </row>
    <row r="149" spans="1:7" x14ac:dyDescent="0.15">
      <c r="A149" s="2">
        <v>147</v>
      </c>
      <c r="B149" s="3" t="str">
        <f>"杨晓芳"</f>
        <v>杨晓芳</v>
      </c>
      <c r="C149" s="3" t="str">
        <f>"女        "</f>
        <v xml:space="preserve">女        </v>
      </c>
      <c r="D149" s="3" t="str">
        <f>"云南财经大学市场营销"</f>
        <v>云南财经大学市场营销</v>
      </c>
      <c r="E149" s="3" t="str">
        <f t="shared" ref="E149:E152" si="23">"本科"</f>
        <v>本科</v>
      </c>
      <c r="F149" s="3" t="s">
        <v>4</v>
      </c>
      <c r="G149" s="3"/>
    </row>
    <row r="150" spans="1:7" x14ac:dyDescent="0.15">
      <c r="A150" s="2">
        <v>148</v>
      </c>
      <c r="B150" s="3" t="str">
        <f>"韦翠丹"</f>
        <v>韦翠丹</v>
      </c>
      <c r="C150" s="3" t="str">
        <f>"女        "</f>
        <v xml:space="preserve">女        </v>
      </c>
      <c r="D150" s="3" t="str">
        <f>"玉林师范学院小学教育"</f>
        <v>玉林师范学院小学教育</v>
      </c>
      <c r="E150" s="3" t="str">
        <f t="shared" si="23"/>
        <v>本科</v>
      </c>
      <c r="F150" s="3" t="s">
        <v>5</v>
      </c>
      <c r="G150" s="3"/>
    </row>
    <row r="151" spans="1:7" x14ac:dyDescent="0.15">
      <c r="A151" s="2">
        <v>149</v>
      </c>
      <c r="B151" s="3" t="str">
        <f>"黄玉仙"</f>
        <v>黄玉仙</v>
      </c>
      <c r="C151" s="3" t="str">
        <f>"女        "</f>
        <v xml:space="preserve">女        </v>
      </c>
      <c r="D151" s="3" t="str">
        <f>"文山学院小学教育"</f>
        <v>文山学院小学教育</v>
      </c>
      <c r="E151" s="3" t="str">
        <f t="shared" si="23"/>
        <v>本科</v>
      </c>
      <c r="F151" s="3" t="s">
        <v>4</v>
      </c>
      <c r="G151" s="3"/>
    </row>
    <row r="152" spans="1:7" x14ac:dyDescent="0.15">
      <c r="A152" s="2">
        <v>150</v>
      </c>
      <c r="B152" s="3" t="str">
        <f>"李文升"</f>
        <v>李文升</v>
      </c>
      <c r="C152" s="3" t="str">
        <f>"男        "</f>
        <v xml:space="preserve">男        </v>
      </c>
      <c r="D152" s="3" t="str">
        <f>"云南大学滇池学院行政管理"</f>
        <v>云南大学滇池学院行政管理</v>
      </c>
      <c r="E152" s="3" t="str">
        <f t="shared" si="23"/>
        <v>本科</v>
      </c>
      <c r="F152" s="3" t="s">
        <v>5</v>
      </c>
      <c r="G152" s="3"/>
    </row>
    <row r="153" spans="1:7" x14ac:dyDescent="0.15">
      <c r="A153" s="2">
        <v>151</v>
      </c>
      <c r="B153" s="3" t="str">
        <f>"黄小龙"</f>
        <v>黄小龙</v>
      </c>
      <c r="C153" s="3" t="str">
        <f t="shared" ref="C153:C174" si="24">"女        "</f>
        <v xml:space="preserve">女        </v>
      </c>
      <c r="D153" s="3" t="str">
        <f>"广西教育学院汉语"</f>
        <v>广西教育学院汉语</v>
      </c>
      <c r="E153" s="3" t="s">
        <v>10</v>
      </c>
      <c r="F153" s="3" t="s">
        <v>4</v>
      </c>
      <c r="G153" s="3"/>
    </row>
    <row r="154" spans="1:7" x14ac:dyDescent="0.15">
      <c r="A154" s="2">
        <v>152</v>
      </c>
      <c r="B154" s="3" t="str">
        <f>"李霞"</f>
        <v>李霞</v>
      </c>
      <c r="C154" s="3" t="str">
        <f t="shared" si="24"/>
        <v xml:space="preserve">女        </v>
      </c>
      <c r="D154" s="3" t="str">
        <f>"临沧师范高等专科学校语文教育"</f>
        <v>临沧师范高等专科学校语文教育</v>
      </c>
      <c r="E154" s="3" t="s">
        <v>10</v>
      </c>
      <c r="F154" s="3" t="s">
        <v>4</v>
      </c>
      <c r="G154" s="3"/>
    </row>
    <row r="155" spans="1:7" x14ac:dyDescent="0.15">
      <c r="A155" s="2">
        <v>153</v>
      </c>
      <c r="B155" s="3" t="str">
        <f>"邓娜"</f>
        <v>邓娜</v>
      </c>
      <c r="C155" s="3" t="str">
        <f t="shared" si="24"/>
        <v xml:space="preserve">女        </v>
      </c>
      <c r="D155" s="3" t="str">
        <f>"普洱学院应用英语"</f>
        <v>普洱学院应用英语</v>
      </c>
      <c r="E155" s="3" t="str">
        <f t="shared" ref="E155:E156" si="25">"本科"</f>
        <v>本科</v>
      </c>
      <c r="F155" s="3" t="s">
        <v>6</v>
      </c>
      <c r="G155" s="3"/>
    </row>
    <row r="156" spans="1:7" x14ac:dyDescent="0.15">
      <c r="A156" s="2">
        <v>154</v>
      </c>
      <c r="B156" s="3" t="str">
        <f>"杨孔汝"</f>
        <v>杨孔汝</v>
      </c>
      <c r="C156" s="3" t="str">
        <f t="shared" si="24"/>
        <v xml:space="preserve">女        </v>
      </c>
      <c r="D156" s="3" t="str">
        <f>"楚雄师范学院科学教育"</f>
        <v>楚雄师范学院科学教育</v>
      </c>
      <c r="E156" s="3" t="str">
        <f t="shared" si="25"/>
        <v>本科</v>
      </c>
      <c r="F156" s="3" t="s">
        <v>5</v>
      </c>
      <c r="G156" s="3"/>
    </row>
    <row r="157" spans="1:7" x14ac:dyDescent="0.15">
      <c r="A157" s="2">
        <v>155</v>
      </c>
      <c r="B157" s="3" t="str">
        <f>"黄东梅"</f>
        <v>黄东梅</v>
      </c>
      <c r="C157" s="3" t="str">
        <f t="shared" si="24"/>
        <v xml:space="preserve">女        </v>
      </c>
      <c r="D157" s="3" t="str">
        <f>"桂林师范高等专科学校音乐教育"</f>
        <v>桂林师范高等专科学校音乐教育</v>
      </c>
      <c r="E157" s="3" t="s">
        <v>10</v>
      </c>
      <c r="F157" s="3" t="s">
        <v>8</v>
      </c>
      <c r="G157" s="3"/>
    </row>
    <row r="158" spans="1:7" x14ac:dyDescent="0.15">
      <c r="A158" s="2">
        <v>156</v>
      </c>
      <c r="B158" s="3" t="str">
        <f>"张方书"</f>
        <v>张方书</v>
      </c>
      <c r="C158" s="3" t="str">
        <f t="shared" si="24"/>
        <v xml:space="preserve">女        </v>
      </c>
      <c r="D158" s="3" t="str">
        <f>"琼台师范学院语文教育"</f>
        <v>琼台师范学院语文教育</v>
      </c>
      <c r="E158" s="3" t="s">
        <v>10</v>
      </c>
      <c r="F158" s="3" t="s">
        <v>4</v>
      </c>
      <c r="G158" s="3"/>
    </row>
    <row r="159" spans="1:7" x14ac:dyDescent="0.15">
      <c r="A159" s="2">
        <v>157</v>
      </c>
      <c r="B159" s="3" t="str">
        <f>"王兰"</f>
        <v>王兰</v>
      </c>
      <c r="C159" s="3" t="str">
        <f t="shared" si="24"/>
        <v xml:space="preserve">女        </v>
      </c>
      <c r="D159" s="3" t="str">
        <f>"德宏师范高等专科学校语文教育"</f>
        <v>德宏师范高等专科学校语文教育</v>
      </c>
      <c r="E159" s="3" t="s">
        <v>10</v>
      </c>
      <c r="F159" s="3" t="s">
        <v>4</v>
      </c>
      <c r="G159" s="3"/>
    </row>
    <row r="160" spans="1:7" x14ac:dyDescent="0.15">
      <c r="A160" s="2">
        <v>158</v>
      </c>
      <c r="B160" s="3" t="str">
        <f>"张建婷"</f>
        <v>张建婷</v>
      </c>
      <c r="C160" s="3" t="str">
        <f t="shared" si="24"/>
        <v xml:space="preserve">女        </v>
      </c>
      <c r="D160" s="3" t="str">
        <f>"文山学院计算机科学与技术"</f>
        <v>文山学院计算机科学与技术</v>
      </c>
      <c r="E160" s="3" t="str">
        <f>"本科"</f>
        <v>本科</v>
      </c>
      <c r="F160" s="3" t="s">
        <v>9</v>
      </c>
      <c r="G160" s="3"/>
    </row>
    <row r="161" spans="1:7" x14ac:dyDescent="0.15">
      <c r="A161" s="2">
        <v>159</v>
      </c>
      <c r="B161" s="3" t="str">
        <f>"陆珍"</f>
        <v>陆珍</v>
      </c>
      <c r="C161" s="3" t="str">
        <f t="shared" si="24"/>
        <v xml:space="preserve">女        </v>
      </c>
      <c r="D161" s="3" t="str">
        <f>"广西幼儿师范高等专科学校语文教育"</f>
        <v>广西幼儿师范高等专科学校语文教育</v>
      </c>
      <c r="E161" s="3" t="s">
        <v>10</v>
      </c>
      <c r="F161" s="3" t="s">
        <v>4</v>
      </c>
      <c r="G161" s="3"/>
    </row>
    <row r="162" spans="1:7" x14ac:dyDescent="0.15">
      <c r="A162" s="2">
        <v>160</v>
      </c>
      <c r="B162" s="3" t="str">
        <f>"罗霜"</f>
        <v>罗霜</v>
      </c>
      <c r="C162" s="3" t="str">
        <f t="shared" si="24"/>
        <v xml:space="preserve">女        </v>
      </c>
      <c r="D162" s="3" t="str">
        <f>"南充职业技术学院初等教育"</f>
        <v>南充职业技术学院初等教育</v>
      </c>
      <c r="E162" s="3" t="s">
        <v>10</v>
      </c>
      <c r="F162" s="3" t="s">
        <v>4</v>
      </c>
      <c r="G162" s="3"/>
    </row>
    <row r="163" spans="1:7" x14ac:dyDescent="0.15">
      <c r="A163" s="2">
        <v>161</v>
      </c>
      <c r="B163" s="3" t="str">
        <f>"农小英"</f>
        <v>农小英</v>
      </c>
      <c r="C163" s="3" t="str">
        <f t="shared" si="24"/>
        <v xml:space="preserve">女        </v>
      </c>
      <c r="D163" s="3" t="str">
        <f>"百色学院学前教育"</f>
        <v>百色学院学前教育</v>
      </c>
      <c r="E163" s="3" t="s">
        <v>10</v>
      </c>
      <c r="F163" s="3" t="s">
        <v>4</v>
      </c>
      <c r="G163" s="3"/>
    </row>
    <row r="164" spans="1:7" x14ac:dyDescent="0.15">
      <c r="A164" s="2">
        <v>162</v>
      </c>
      <c r="B164" s="3" t="str">
        <f>"莫秋菊"</f>
        <v>莫秋菊</v>
      </c>
      <c r="C164" s="3" t="str">
        <f t="shared" si="24"/>
        <v xml:space="preserve">女        </v>
      </c>
      <c r="D164" s="3" t="str">
        <f>"河池学院语文教育"</f>
        <v>河池学院语文教育</v>
      </c>
      <c r="E164" s="3" t="s">
        <v>10</v>
      </c>
      <c r="F164" s="3" t="s">
        <v>4</v>
      </c>
      <c r="G164" s="3"/>
    </row>
    <row r="165" spans="1:7" x14ac:dyDescent="0.15">
      <c r="A165" s="2">
        <v>163</v>
      </c>
      <c r="B165" s="3" t="str">
        <f>"陆涵晏"</f>
        <v>陆涵晏</v>
      </c>
      <c r="C165" s="3" t="str">
        <f t="shared" si="24"/>
        <v xml:space="preserve">女        </v>
      </c>
      <c r="D165" s="3" t="str">
        <f>"上饶师范学院学前教育"</f>
        <v>上饶师范学院学前教育</v>
      </c>
      <c r="E165" s="3" t="str">
        <f t="shared" ref="E165:E168" si="26">"本科"</f>
        <v>本科</v>
      </c>
      <c r="F165" s="3" t="s">
        <v>4</v>
      </c>
      <c r="G165" s="3"/>
    </row>
    <row r="166" spans="1:7" x14ac:dyDescent="0.15">
      <c r="A166" s="2">
        <v>164</v>
      </c>
      <c r="B166" s="3" t="str">
        <f>"韦骁毅"</f>
        <v>韦骁毅</v>
      </c>
      <c r="C166" s="3" t="str">
        <f t="shared" si="24"/>
        <v xml:space="preserve">女        </v>
      </c>
      <c r="D166" s="3" t="str">
        <f>"百色学院对外汉语"</f>
        <v>百色学院对外汉语</v>
      </c>
      <c r="E166" s="3" t="str">
        <f t="shared" si="26"/>
        <v>本科</v>
      </c>
      <c r="F166" s="3" t="s">
        <v>4</v>
      </c>
      <c r="G166" s="3"/>
    </row>
    <row r="167" spans="1:7" x14ac:dyDescent="0.15">
      <c r="A167" s="2">
        <v>165</v>
      </c>
      <c r="B167" s="3" t="str">
        <f>"许英洁"</f>
        <v>许英洁</v>
      </c>
      <c r="C167" s="3" t="str">
        <f t="shared" si="24"/>
        <v xml:space="preserve">女        </v>
      </c>
      <c r="D167" s="3" t="str">
        <f>"百色学院汉语言文学"</f>
        <v>百色学院汉语言文学</v>
      </c>
      <c r="E167" s="3" t="str">
        <f t="shared" si="26"/>
        <v>本科</v>
      </c>
      <c r="F167" s="3" t="s">
        <v>4</v>
      </c>
      <c r="G167" s="3"/>
    </row>
    <row r="168" spans="1:7" x14ac:dyDescent="0.15">
      <c r="A168" s="2">
        <v>166</v>
      </c>
      <c r="B168" s="3" t="str">
        <f>"马月甲"</f>
        <v>马月甲</v>
      </c>
      <c r="C168" s="3" t="str">
        <f t="shared" si="24"/>
        <v xml:space="preserve">女        </v>
      </c>
      <c r="D168" s="3" t="str">
        <f>"广西师范学院师园小学教育"</f>
        <v>广西师范学院师园小学教育</v>
      </c>
      <c r="E168" s="3" t="str">
        <f t="shared" si="26"/>
        <v>本科</v>
      </c>
      <c r="F168" s="3" t="s">
        <v>4</v>
      </c>
      <c r="G168" s="3"/>
    </row>
    <row r="169" spans="1:7" x14ac:dyDescent="0.15">
      <c r="A169" s="2">
        <v>167</v>
      </c>
      <c r="B169" s="3" t="str">
        <f>"陆尚检"</f>
        <v>陆尚检</v>
      </c>
      <c r="C169" s="3" t="str">
        <f t="shared" si="24"/>
        <v xml:space="preserve">女        </v>
      </c>
      <c r="D169" s="3" t="str">
        <f>"广西教育学院学前教育"</f>
        <v>广西教育学院学前教育</v>
      </c>
      <c r="E169" s="3" t="s">
        <v>10</v>
      </c>
      <c r="F169" s="3" t="s">
        <v>4</v>
      </c>
      <c r="G169" s="3"/>
    </row>
    <row r="170" spans="1:7" x14ac:dyDescent="0.15">
      <c r="A170" s="2">
        <v>168</v>
      </c>
      <c r="B170" s="3" t="str">
        <f>"杨代凤"</f>
        <v>杨代凤</v>
      </c>
      <c r="C170" s="3" t="str">
        <f t="shared" si="24"/>
        <v xml:space="preserve">女        </v>
      </c>
      <c r="D170" s="3" t="str">
        <f>"德宏师范高等专科学校数学教育"</f>
        <v>德宏师范高等专科学校数学教育</v>
      </c>
      <c r="E170" s="3" t="s">
        <v>10</v>
      </c>
      <c r="F170" s="3" t="s">
        <v>5</v>
      </c>
      <c r="G170" s="3"/>
    </row>
    <row r="171" spans="1:7" x14ac:dyDescent="0.15">
      <c r="A171" s="2">
        <v>169</v>
      </c>
      <c r="B171" s="3" t="str">
        <f>"仝清莲"</f>
        <v>仝清莲</v>
      </c>
      <c r="C171" s="3" t="str">
        <f t="shared" si="24"/>
        <v xml:space="preserve">女        </v>
      </c>
      <c r="D171" s="3" t="str">
        <f>"保山学院初等教育"</f>
        <v>保山学院初等教育</v>
      </c>
      <c r="E171" s="3" t="s">
        <v>10</v>
      </c>
      <c r="F171" s="3" t="s">
        <v>5</v>
      </c>
      <c r="G171" s="3"/>
    </row>
    <row r="172" spans="1:7" x14ac:dyDescent="0.15">
      <c r="A172" s="2">
        <v>170</v>
      </c>
      <c r="B172" s="3" t="str">
        <f>"蒙小辉"</f>
        <v>蒙小辉</v>
      </c>
      <c r="C172" s="3" t="str">
        <f t="shared" si="24"/>
        <v xml:space="preserve">女        </v>
      </c>
      <c r="D172" s="3" t="str">
        <f>"梧州学院学前教育"</f>
        <v>梧州学院学前教育</v>
      </c>
      <c r="E172" s="3" t="s">
        <v>10</v>
      </c>
      <c r="F172" s="3" t="s">
        <v>4</v>
      </c>
      <c r="G172" s="3"/>
    </row>
    <row r="173" spans="1:7" x14ac:dyDescent="0.15">
      <c r="A173" s="2">
        <v>171</v>
      </c>
      <c r="B173" s="3" t="str">
        <f>"沈国芬"</f>
        <v>沈国芬</v>
      </c>
      <c r="C173" s="3" t="str">
        <f t="shared" si="24"/>
        <v xml:space="preserve">女        </v>
      </c>
      <c r="D173" s="3" t="str">
        <f>"曲靖师范学院工商管理"</f>
        <v>曲靖师范学院工商管理</v>
      </c>
      <c r="E173" s="3" t="str">
        <f>"本科"</f>
        <v>本科</v>
      </c>
      <c r="F173" s="3" t="s">
        <v>4</v>
      </c>
      <c r="G173" s="3"/>
    </row>
    <row r="174" spans="1:7" x14ac:dyDescent="0.15">
      <c r="A174" s="2">
        <v>172</v>
      </c>
      <c r="B174" s="3" t="str">
        <f>"何彩情"</f>
        <v>何彩情</v>
      </c>
      <c r="C174" s="3" t="str">
        <f t="shared" si="24"/>
        <v xml:space="preserve">女        </v>
      </c>
      <c r="D174" s="3" t="str">
        <f>"桂林师范高等专科学校数学教育"</f>
        <v>桂林师范高等专科学校数学教育</v>
      </c>
      <c r="E174" s="3" t="s">
        <v>10</v>
      </c>
      <c r="F174" s="3" t="s">
        <v>5</v>
      </c>
      <c r="G174" s="3"/>
    </row>
    <row r="175" spans="1:7" x14ac:dyDescent="0.15">
      <c r="A175" s="2">
        <v>173</v>
      </c>
      <c r="B175" s="3" t="str">
        <f>"陆建"</f>
        <v>陆建</v>
      </c>
      <c r="C175" s="3" t="str">
        <f>"男        "</f>
        <v xml:space="preserve">男        </v>
      </c>
      <c r="D175" s="3" t="str">
        <f>"百色学院工程管理"</f>
        <v>百色学院工程管理</v>
      </c>
      <c r="E175" s="3" t="str">
        <f t="shared" ref="E175:E176" si="27">"本科"</f>
        <v>本科</v>
      </c>
      <c r="F175" s="3" t="s">
        <v>4</v>
      </c>
      <c r="G175" s="3"/>
    </row>
    <row r="176" spans="1:7" x14ac:dyDescent="0.15">
      <c r="A176" s="2">
        <v>174</v>
      </c>
      <c r="B176" s="3" t="str">
        <f>"候朝鲜"</f>
        <v>候朝鲜</v>
      </c>
      <c r="C176" s="3" t="str">
        <f>"女        "</f>
        <v xml:space="preserve">女        </v>
      </c>
      <c r="D176" s="3" t="str">
        <f>"玉溪师范学院汉语言文学"</f>
        <v>玉溪师范学院汉语言文学</v>
      </c>
      <c r="E176" s="3" t="str">
        <f t="shared" si="27"/>
        <v>本科</v>
      </c>
      <c r="F176" s="3" t="s">
        <v>4</v>
      </c>
      <c r="G176" s="3"/>
    </row>
    <row r="177" spans="1:7" x14ac:dyDescent="0.15">
      <c r="A177" s="2">
        <v>175</v>
      </c>
      <c r="B177" s="3" t="str">
        <f>"李慧美"</f>
        <v>李慧美</v>
      </c>
      <c r="C177" s="3" t="str">
        <f>"女        "</f>
        <v xml:space="preserve">女        </v>
      </c>
      <c r="D177" s="3" t="str">
        <f>"丽江师范高等专科学校思想政治教育"</f>
        <v>丽江师范高等专科学校思想政治教育</v>
      </c>
      <c r="E177" s="3" t="s">
        <v>10</v>
      </c>
      <c r="F177" s="3" t="s">
        <v>4</v>
      </c>
      <c r="G177" s="3"/>
    </row>
    <row r="178" spans="1:7" x14ac:dyDescent="0.15">
      <c r="A178" s="2">
        <v>176</v>
      </c>
      <c r="B178" s="3" t="str">
        <f>"朱光红"</f>
        <v>朱光红</v>
      </c>
      <c r="C178" s="3" t="str">
        <f>"男        "</f>
        <v xml:space="preserve">男        </v>
      </c>
      <c r="D178" s="3" t="str">
        <f>"红河学院小学教育理科"</f>
        <v>红河学院小学教育理科</v>
      </c>
      <c r="E178" s="3" t="str">
        <f t="shared" ref="E178:E182" si="28">"本科"</f>
        <v>本科</v>
      </c>
      <c r="F178" s="3" t="s">
        <v>5</v>
      </c>
      <c r="G178" s="3"/>
    </row>
    <row r="179" spans="1:7" x14ac:dyDescent="0.15">
      <c r="A179" s="2">
        <v>177</v>
      </c>
      <c r="B179" s="3" t="str">
        <f>"马劼"</f>
        <v>马劼</v>
      </c>
      <c r="C179" s="3" t="str">
        <f>"男        "</f>
        <v xml:space="preserve">男        </v>
      </c>
      <c r="D179" s="3" t="str">
        <f>"桂林电子科技大学材料科学与工程"</f>
        <v>桂林电子科技大学材料科学与工程</v>
      </c>
      <c r="E179" s="3" t="str">
        <f t="shared" si="28"/>
        <v>本科</v>
      </c>
      <c r="F179" s="3" t="s">
        <v>5</v>
      </c>
      <c r="G179" s="3"/>
    </row>
    <row r="180" spans="1:7" x14ac:dyDescent="0.15">
      <c r="A180" s="2">
        <v>178</v>
      </c>
      <c r="B180" s="3" t="str">
        <f>"周玲"</f>
        <v>周玲</v>
      </c>
      <c r="C180" s="3" t="str">
        <f>"女        "</f>
        <v xml:space="preserve">女        </v>
      </c>
      <c r="D180" s="3" t="str">
        <f>"云南民族大学环境科学"</f>
        <v>云南民族大学环境科学</v>
      </c>
      <c r="E180" s="3" t="str">
        <f t="shared" si="28"/>
        <v>本科</v>
      </c>
      <c r="F180" s="3" t="s">
        <v>5</v>
      </c>
      <c r="G180" s="3"/>
    </row>
    <row r="181" spans="1:7" x14ac:dyDescent="0.15">
      <c r="A181" s="2">
        <v>179</v>
      </c>
      <c r="B181" s="3" t="str">
        <f>"梁乾宇"</f>
        <v>梁乾宇</v>
      </c>
      <c r="C181" s="3" t="str">
        <f>"男        "</f>
        <v xml:space="preserve">男        </v>
      </c>
      <c r="D181" s="3" t="str">
        <f>"广西师范学院师园学院小学教育"</f>
        <v>广西师范学院师园学院小学教育</v>
      </c>
      <c r="E181" s="3" t="str">
        <f t="shared" si="28"/>
        <v>本科</v>
      </c>
      <c r="F181" s="3" t="s">
        <v>5</v>
      </c>
      <c r="G181" s="3"/>
    </row>
    <row r="182" spans="1:7" x14ac:dyDescent="0.15">
      <c r="A182" s="2">
        <v>180</v>
      </c>
      <c r="B182" s="3" t="str">
        <f>"何艳春"</f>
        <v>何艳春</v>
      </c>
      <c r="C182" s="3" t="str">
        <f>"女        "</f>
        <v xml:space="preserve">女        </v>
      </c>
      <c r="D182" s="3" t="str">
        <f>"云南师范大学商学院应用心理学"</f>
        <v>云南师范大学商学院应用心理学</v>
      </c>
      <c r="E182" s="3" t="str">
        <f t="shared" si="28"/>
        <v>本科</v>
      </c>
      <c r="F182" s="3" t="s">
        <v>4</v>
      </c>
      <c r="G182" s="3"/>
    </row>
    <row r="183" spans="1:7" x14ac:dyDescent="0.15">
      <c r="A183" s="2">
        <v>181</v>
      </c>
      <c r="B183" s="3" t="str">
        <f>"段梅"</f>
        <v>段梅</v>
      </c>
      <c r="C183" s="3" t="str">
        <f>"女        "</f>
        <v xml:space="preserve">女        </v>
      </c>
      <c r="D183" s="3" t="str">
        <f>"德宏师范高等专科学校初等教育"</f>
        <v>德宏师范高等专科学校初等教育</v>
      </c>
      <c r="E183" s="3" t="s">
        <v>10</v>
      </c>
      <c r="F183" s="3" t="s">
        <v>4</v>
      </c>
      <c r="G183" s="3"/>
    </row>
    <row r="184" spans="1:7" x14ac:dyDescent="0.15">
      <c r="A184" s="2">
        <v>182</v>
      </c>
      <c r="B184" s="3" t="str">
        <f>"李怀存"</f>
        <v>李怀存</v>
      </c>
      <c r="C184" s="3" t="str">
        <f>"女        "</f>
        <v xml:space="preserve">女        </v>
      </c>
      <c r="D184" s="3" t="str">
        <f>"昆明理工大学英语"</f>
        <v>昆明理工大学英语</v>
      </c>
      <c r="E184" s="3" t="str">
        <f>"本科"</f>
        <v>本科</v>
      </c>
      <c r="F184" s="3" t="s">
        <v>6</v>
      </c>
      <c r="G184" s="3"/>
    </row>
    <row r="185" spans="1:7" x14ac:dyDescent="0.15">
      <c r="A185" s="2">
        <v>183</v>
      </c>
      <c r="B185" s="3" t="str">
        <f>"赵美莲"</f>
        <v>赵美莲</v>
      </c>
      <c r="C185" s="3" t="str">
        <f>"女        "</f>
        <v xml:space="preserve">女        </v>
      </c>
      <c r="D185" s="3" t="str">
        <f>"广西科技示范学院音乐教育"</f>
        <v>广西科技示范学院音乐教育</v>
      </c>
      <c r="E185" s="3" t="s">
        <v>10</v>
      </c>
      <c r="F185" s="3" t="s">
        <v>8</v>
      </c>
      <c r="G185" s="3"/>
    </row>
    <row r="186" spans="1:7" x14ac:dyDescent="0.15">
      <c r="A186" s="2">
        <v>184</v>
      </c>
      <c r="B186" s="3" t="str">
        <f>"陆刘军"</f>
        <v>陆刘军</v>
      </c>
      <c r="C186" s="3" t="str">
        <f>"男        "</f>
        <v xml:space="preserve">男        </v>
      </c>
      <c r="D186" s="3" t="str">
        <f>"滇西科技师范学院数学教育"</f>
        <v>滇西科技师范学院数学教育</v>
      </c>
      <c r="E186" s="3" t="s">
        <v>10</v>
      </c>
      <c r="F186" s="3" t="s">
        <v>5</v>
      </c>
      <c r="G186" s="3"/>
    </row>
    <row r="187" spans="1:7" x14ac:dyDescent="0.15">
      <c r="A187" s="2">
        <v>185</v>
      </c>
      <c r="B187" s="3" t="str">
        <f>"陈与文"</f>
        <v>陈与文</v>
      </c>
      <c r="C187" s="3" t="str">
        <f>"男        "</f>
        <v xml:space="preserve">男        </v>
      </c>
      <c r="D187" s="3" t="str">
        <f>"德宏师范高等专科学校思想政治教育"</f>
        <v>德宏师范高等专科学校思想政治教育</v>
      </c>
      <c r="E187" s="3" t="s">
        <v>10</v>
      </c>
      <c r="F187" s="3" t="s">
        <v>4</v>
      </c>
      <c r="G187" s="3"/>
    </row>
    <row r="188" spans="1:7" x14ac:dyDescent="0.15">
      <c r="A188" s="2">
        <v>186</v>
      </c>
      <c r="B188" s="3" t="str">
        <f>"玉月兰"</f>
        <v>玉月兰</v>
      </c>
      <c r="C188" s="3" t="str">
        <f>"女        "</f>
        <v xml:space="preserve">女        </v>
      </c>
      <c r="D188" s="3" t="str">
        <f>"广西民族师范学院新闻与现代传媒"</f>
        <v>广西民族师范学院新闻与现代传媒</v>
      </c>
      <c r="E188" s="3" t="str">
        <f>"本科"</f>
        <v>本科</v>
      </c>
      <c r="F188" s="3" t="s">
        <v>4</v>
      </c>
      <c r="G188" s="3"/>
    </row>
    <row r="189" spans="1:7" x14ac:dyDescent="0.15">
      <c r="A189" s="2">
        <v>187</v>
      </c>
      <c r="B189" s="3" t="str">
        <f>"梁绍忠"</f>
        <v>梁绍忠</v>
      </c>
      <c r="C189" s="3" t="str">
        <f>"男        "</f>
        <v xml:space="preserve">男        </v>
      </c>
      <c r="D189" s="3" t="str">
        <f>"文山学院体育教育"</f>
        <v>文山学院体育教育</v>
      </c>
      <c r="E189" s="3" t="s">
        <v>10</v>
      </c>
      <c r="F189" s="3" t="s">
        <v>7</v>
      </c>
      <c r="G189" s="3"/>
    </row>
    <row r="190" spans="1:7" x14ac:dyDescent="0.15">
      <c r="A190" s="2">
        <v>188</v>
      </c>
      <c r="B190" s="3" t="str">
        <f>"陆正举"</f>
        <v>陆正举</v>
      </c>
      <c r="C190" s="3" t="str">
        <f>"男        "</f>
        <v xml:space="preserve">男        </v>
      </c>
      <c r="D190" s="3" t="str">
        <f>"昭通学院初等教育"</f>
        <v>昭通学院初等教育</v>
      </c>
      <c r="E190" s="3" t="s">
        <v>10</v>
      </c>
      <c r="F190" s="3" t="s">
        <v>4</v>
      </c>
      <c r="G190" s="3"/>
    </row>
    <row r="191" spans="1:7" x14ac:dyDescent="0.15">
      <c r="A191" s="2">
        <v>189</v>
      </c>
      <c r="B191" s="3" t="str">
        <f>"张小琼"</f>
        <v>张小琼</v>
      </c>
      <c r="C191" s="3" t="str">
        <f>"女        "</f>
        <v xml:space="preserve">女        </v>
      </c>
      <c r="D191" s="3" t="str">
        <f>"普洱学院语文教育"</f>
        <v>普洱学院语文教育</v>
      </c>
      <c r="E191" s="3" t="s">
        <v>10</v>
      </c>
      <c r="F191" s="3" t="s">
        <v>4</v>
      </c>
      <c r="G191" s="3"/>
    </row>
    <row r="192" spans="1:7" x14ac:dyDescent="0.15">
      <c r="A192" s="2">
        <v>190</v>
      </c>
      <c r="B192" s="3" t="str">
        <f>"王川"</f>
        <v>王川</v>
      </c>
      <c r="C192" s="3" t="str">
        <f>"男        "</f>
        <v xml:space="preserve">男        </v>
      </c>
      <c r="D192" s="3" t="str">
        <f>"滇西科技师范学院初等教育"</f>
        <v>滇西科技师范学院初等教育</v>
      </c>
      <c r="E192" s="3" t="s">
        <v>10</v>
      </c>
      <c r="F192" s="3" t="s">
        <v>4</v>
      </c>
      <c r="G192" s="3"/>
    </row>
    <row r="193" spans="1:7" x14ac:dyDescent="0.15">
      <c r="A193" s="2">
        <v>191</v>
      </c>
      <c r="B193" s="3" t="str">
        <f>"梁慧兰"</f>
        <v>梁慧兰</v>
      </c>
      <c r="C193" s="3" t="str">
        <f>"女        "</f>
        <v xml:space="preserve">女        </v>
      </c>
      <c r="D193" s="3" t="str">
        <f>"桂林理工大学行政管理专业"</f>
        <v>桂林理工大学行政管理专业</v>
      </c>
      <c r="E193" s="3" t="str">
        <f>"本科"</f>
        <v>本科</v>
      </c>
      <c r="F193" s="3" t="s">
        <v>5</v>
      </c>
      <c r="G193" s="3"/>
    </row>
    <row r="194" spans="1:7" x14ac:dyDescent="0.15">
      <c r="A194" s="2">
        <v>192</v>
      </c>
      <c r="B194" s="3" t="str">
        <f>"刘维钱"</f>
        <v>刘维钱</v>
      </c>
      <c r="C194" s="3" t="str">
        <f>"女        "</f>
        <v xml:space="preserve">女        </v>
      </c>
      <c r="D194" s="3" t="str">
        <f>"铜仁幼儿师范高等专科学校初等教育"</f>
        <v>铜仁幼儿师范高等专科学校初等教育</v>
      </c>
      <c r="E194" s="3" t="s">
        <v>10</v>
      </c>
      <c r="F194" s="3" t="s">
        <v>4</v>
      </c>
      <c r="G194" s="3"/>
    </row>
    <row r="195" spans="1:7" x14ac:dyDescent="0.15">
      <c r="A195" s="2">
        <v>193</v>
      </c>
      <c r="B195" s="3" t="str">
        <f>"向文金"</f>
        <v>向文金</v>
      </c>
      <c r="C195" s="3" t="str">
        <f>"男        "</f>
        <v xml:space="preserve">男        </v>
      </c>
      <c r="D195" s="3" t="str">
        <f>"德宏师范高等专科学校数学教育"</f>
        <v>德宏师范高等专科学校数学教育</v>
      </c>
      <c r="E195" s="3" t="s">
        <v>10</v>
      </c>
      <c r="F195" s="3" t="s">
        <v>5</v>
      </c>
      <c r="G195" s="3"/>
    </row>
    <row r="196" spans="1:7" x14ac:dyDescent="0.15">
      <c r="A196" s="2">
        <v>194</v>
      </c>
      <c r="B196" s="3" t="str">
        <f>"罗丹丹"</f>
        <v>罗丹丹</v>
      </c>
      <c r="C196" s="3" t="str">
        <f>"女        "</f>
        <v xml:space="preserve">女        </v>
      </c>
      <c r="D196" s="3" t="str">
        <f>"华南农业大学食品质量与安全"</f>
        <v>华南农业大学食品质量与安全</v>
      </c>
      <c r="E196" s="3" t="str">
        <f>"本科"</f>
        <v>本科</v>
      </c>
      <c r="F196" s="3" t="s">
        <v>5</v>
      </c>
      <c r="G196" s="3"/>
    </row>
    <row r="197" spans="1:7" x14ac:dyDescent="0.15">
      <c r="A197" s="2">
        <v>195</v>
      </c>
      <c r="B197" s="3" t="str">
        <f>"冉恒华"</f>
        <v>冉恒华</v>
      </c>
      <c r="C197" s="3" t="str">
        <f>"男        "</f>
        <v xml:space="preserve">男        </v>
      </c>
      <c r="D197" s="3" t="str">
        <f>"临沧师范高等专科学校初等教育文科方向"</f>
        <v>临沧师范高等专科学校初等教育文科方向</v>
      </c>
      <c r="E197" s="3" t="s">
        <v>10</v>
      </c>
      <c r="F197" s="3" t="s">
        <v>4</v>
      </c>
      <c r="G197" s="3"/>
    </row>
    <row r="198" spans="1:7" x14ac:dyDescent="0.15">
      <c r="A198" s="2">
        <v>196</v>
      </c>
      <c r="B198" s="3" t="str">
        <f>"农坡"</f>
        <v>农坡</v>
      </c>
      <c r="C198" s="3" t="str">
        <f>"男        "</f>
        <v xml:space="preserve">男        </v>
      </c>
      <c r="D198" s="3" t="str">
        <f>"广西师范学院体育教育"</f>
        <v>广西师范学院体育教育</v>
      </c>
      <c r="E198" s="3" t="str">
        <f>"本科"</f>
        <v>本科</v>
      </c>
      <c r="F198" s="3" t="s">
        <v>7</v>
      </c>
      <c r="G198" s="3"/>
    </row>
    <row r="199" spans="1:7" x14ac:dyDescent="0.15">
      <c r="A199" s="2">
        <v>197</v>
      </c>
      <c r="B199" s="3" t="str">
        <f>"杨登杰"</f>
        <v>杨登杰</v>
      </c>
      <c r="C199" s="3" t="str">
        <f>"男        "</f>
        <v xml:space="preserve">男        </v>
      </c>
      <c r="D199" s="3" t="str">
        <f>"滇西科技师范学院语文教育"</f>
        <v>滇西科技师范学院语文教育</v>
      </c>
      <c r="E199" s="3" t="s">
        <v>10</v>
      </c>
      <c r="F199" s="3" t="s">
        <v>4</v>
      </c>
      <c r="G199" s="3"/>
    </row>
    <row r="200" spans="1:7" x14ac:dyDescent="0.15">
      <c r="A200" s="2">
        <v>198</v>
      </c>
      <c r="B200" s="3" t="str">
        <f>"王云霞"</f>
        <v>王云霞</v>
      </c>
      <c r="C200" s="3" t="str">
        <f>"女        "</f>
        <v xml:space="preserve">女        </v>
      </c>
      <c r="D200" s="3" t="str">
        <f>"普洱学院语文教育"</f>
        <v>普洱学院语文教育</v>
      </c>
      <c r="E200" s="3" t="s">
        <v>10</v>
      </c>
      <c r="F200" s="3" t="s">
        <v>4</v>
      </c>
      <c r="G200" s="3"/>
    </row>
    <row r="201" spans="1:7" x14ac:dyDescent="0.15">
      <c r="A201" s="2">
        <v>199</v>
      </c>
      <c r="B201" s="3" t="str">
        <f>"王在"</f>
        <v>王在</v>
      </c>
      <c r="C201" s="3" t="str">
        <f>"男        "</f>
        <v xml:space="preserve">男        </v>
      </c>
      <c r="D201" s="3" t="str">
        <f>"临沧师范高等专科学校现代教育技术"</f>
        <v>临沧师范高等专科学校现代教育技术</v>
      </c>
      <c r="E201" s="3" t="s">
        <v>10</v>
      </c>
      <c r="F201" s="3" t="s">
        <v>9</v>
      </c>
      <c r="G201" s="3"/>
    </row>
    <row r="202" spans="1:7" x14ac:dyDescent="0.15">
      <c r="A202" s="2">
        <v>200</v>
      </c>
      <c r="B202" s="3" t="str">
        <f>"韦锦玲"</f>
        <v>韦锦玲</v>
      </c>
      <c r="C202" s="3" t="str">
        <f>"女        "</f>
        <v xml:space="preserve">女        </v>
      </c>
      <c r="D202" s="3" t="str">
        <f>"广西外国语学院审计学"</f>
        <v>广西外国语学院审计学</v>
      </c>
      <c r="E202" s="3" t="str">
        <f t="shared" ref="E202:E204" si="29">"本科"</f>
        <v>本科</v>
      </c>
      <c r="F202" s="3" t="s">
        <v>4</v>
      </c>
      <c r="G202" s="3"/>
    </row>
    <row r="203" spans="1:7" x14ac:dyDescent="0.15">
      <c r="A203" s="2">
        <v>201</v>
      </c>
      <c r="B203" s="3" t="str">
        <f>"马加粉"</f>
        <v>马加粉</v>
      </c>
      <c r="C203" s="3" t="str">
        <f>"女        "</f>
        <v xml:space="preserve">女        </v>
      </c>
      <c r="D203" s="3" t="str">
        <f>"文山学院数学与应用数学"</f>
        <v>文山学院数学与应用数学</v>
      </c>
      <c r="E203" s="3" t="str">
        <f t="shared" si="29"/>
        <v>本科</v>
      </c>
      <c r="F203" s="3" t="s">
        <v>5</v>
      </c>
      <c r="G203" s="3"/>
    </row>
    <row r="204" spans="1:7" x14ac:dyDescent="0.15">
      <c r="A204" s="2">
        <v>202</v>
      </c>
      <c r="B204" s="3" t="str">
        <f>"单艳"</f>
        <v>单艳</v>
      </c>
      <c r="C204" s="3" t="str">
        <f>"女        "</f>
        <v xml:space="preserve">女        </v>
      </c>
      <c r="D204" s="3" t="str">
        <f>"云南师范大学商学院汉语言文学"</f>
        <v>云南师范大学商学院汉语言文学</v>
      </c>
      <c r="E204" s="3" t="str">
        <f t="shared" si="29"/>
        <v>本科</v>
      </c>
      <c r="F204" s="3" t="s">
        <v>4</v>
      </c>
      <c r="G204" s="3"/>
    </row>
    <row r="205" spans="1:7" x14ac:dyDescent="0.15">
      <c r="A205" s="2">
        <v>203</v>
      </c>
      <c r="B205" s="3" t="str">
        <f>"黄兰英"</f>
        <v>黄兰英</v>
      </c>
      <c r="C205" s="3" t="str">
        <f>"女        "</f>
        <v xml:space="preserve">女        </v>
      </c>
      <c r="D205" s="3" t="str">
        <f>"百色学院综合文科教育"</f>
        <v>百色学院综合文科教育</v>
      </c>
      <c r="E205" s="3" t="s">
        <v>10</v>
      </c>
      <c r="F205" s="3" t="s">
        <v>4</v>
      </c>
      <c r="G205" s="3"/>
    </row>
    <row r="206" spans="1:7" x14ac:dyDescent="0.15">
      <c r="A206" s="2">
        <v>204</v>
      </c>
      <c r="B206" s="3" t="str">
        <f>"刘叶霞"</f>
        <v>刘叶霞</v>
      </c>
      <c r="C206" s="3" t="str">
        <f>"女        "</f>
        <v xml:space="preserve">女        </v>
      </c>
      <c r="D206" s="3" t="str">
        <f>"广西幼儿师范高等专科学校舞蹈教育"</f>
        <v>广西幼儿师范高等专科学校舞蹈教育</v>
      </c>
      <c r="E206" s="3" t="s">
        <v>10</v>
      </c>
      <c r="F206" s="3" t="s">
        <v>8</v>
      </c>
      <c r="G206" s="3"/>
    </row>
    <row r="207" spans="1:7" x14ac:dyDescent="0.15">
      <c r="A207" s="2">
        <v>205</v>
      </c>
      <c r="B207" s="3" t="str">
        <f>"谭建宾"</f>
        <v>谭建宾</v>
      </c>
      <c r="C207" s="3" t="str">
        <f>"男        "</f>
        <v xml:space="preserve">男        </v>
      </c>
      <c r="D207" s="3" t="str">
        <f>"文山学院地理教育"</f>
        <v>文山学院地理教育</v>
      </c>
      <c r="E207" s="3" t="s">
        <v>10</v>
      </c>
      <c r="F207" s="3" t="s">
        <v>5</v>
      </c>
      <c r="G207" s="3"/>
    </row>
    <row r="208" spans="1:7" x14ac:dyDescent="0.15">
      <c r="A208" s="2">
        <v>206</v>
      </c>
      <c r="B208" s="3" t="str">
        <f>"韦新"</f>
        <v>韦新</v>
      </c>
      <c r="C208" s="3" t="str">
        <f>"男        "</f>
        <v xml:space="preserve">男        </v>
      </c>
      <c r="D208" s="3" t="str">
        <f>"广西师范学院师园学院国际经济与贸易"</f>
        <v>广西师范学院师园学院国际经济与贸易</v>
      </c>
      <c r="E208" s="3" t="str">
        <f>"本科"</f>
        <v>本科</v>
      </c>
      <c r="F208" s="3" t="s">
        <v>5</v>
      </c>
      <c r="G208" s="3"/>
    </row>
    <row r="209" spans="1:7" x14ac:dyDescent="0.15">
      <c r="A209" s="2">
        <v>207</v>
      </c>
      <c r="B209" s="3" t="str">
        <f>"陆仕菊"</f>
        <v>陆仕菊</v>
      </c>
      <c r="C209" s="3" t="str">
        <f>"女        "</f>
        <v xml:space="preserve">女        </v>
      </c>
      <c r="D209" s="3" t="str">
        <f>"滇西科技师范学院数学教育"</f>
        <v>滇西科技师范学院数学教育</v>
      </c>
      <c r="E209" s="3" t="s">
        <v>10</v>
      </c>
      <c r="F209" s="3" t="s">
        <v>5</v>
      </c>
      <c r="G209" s="3"/>
    </row>
    <row r="210" spans="1:7" x14ac:dyDescent="0.15">
      <c r="A210" s="2">
        <v>208</v>
      </c>
      <c r="B210" s="3" t="str">
        <f>"黄小红"</f>
        <v>黄小红</v>
      </c>
      <c r="C210" s="3" t="str">
        <f>"女        "</f>
        <v xml:space="preserve">女        </v>
      </c>
      <c r="D210" s="3" t="str">
        <f>"广西民族师范学院汉语言文学"</f>
        <v>广西民族师范学院汉语言文学</v>
      </c>
      <c r="E210" s="3" t="str">
        <f t="shared" ref="E210:E211" si="30">"本科"</f>
        <v>本科</v>
      </c>
      <c r="F210" s="3" t="s">
        <v>4</v>
      </c>
      <c r="G210" s="3"/>
    </row>
    <row r="211" spans="1:7" x14ac:dyDescent="0.15">
      <c r="A211" s="2">
        <v>209</v>
      </c>
      <c r="B211" s="3" t="str">
        <f>"黎胜贵"</f>
        <v>黎胜贵</v>
      </c>
      <c r="C211" s="3" t="str">
        <f>"女        "</f>
        <v xml:space="preserve">女        </v>
      </c>
      <c r="D211" s="3" t="str">
        <f>"广西大学行健文理学院审计学"</f>
        <v>广西大学行健文理学院审计学</v>
      </c>
      <c r="E211" s="3" t="str">
        <f t="shared" si="30"/>
        <v>本科</v>
      </c>
      <c r="F211" s="3" t="s">
        <v>5</v>
      </c>
      <c r="G211" s="3"/>
    </row>
    <row r="212" spans="1:7" x14ac:dyDescent="0.15">
      <c r="A212" s="2">
        <v>210</v>
      </c>
      <c r="B212" s="3" t="str">
        <f>"蒙小玲"</f>
        <v>蒙小玲</v>
      </c>
      <c r="C212" s="3" t="str">
        <f>"女        "</f>
        <v xml:space="preserve">女        </v>
      </c>
      <c r="D212" s="3" t="str">
        <f>"桂林师范高等专科学校汉语专业"</f>
        <v>桂林师范高等专科学校汉语专业</v>
      </c>
      <c r="E212" s="3" t="s">
        <v>10</v>
      </c>
      <c r="F212" s="3" t="s">
        <v>4</v>
      </c>
      <c r="G212" s="3"/>
    </row>
    <row r="213" spans="1:7" x14ac:dyDescent="0.15">
      <c r="A213" s="2">
        <v>211</v>
      </c>
      <c r="B213" s="3" t="str">
        <f>"杨凤梅"</f>
        <v>杨凤梅</v>
      </c>
      <c r="C213" s="3" t="str">
        <f>"女        "</f>
        <v xml:space="preserve">女        </v>
      </c>
      <c r="D213" s="3" t="str">
        <f>"广西科技师范学院化学教育"</f>
        <v>广西科技师范学院化学教育</v>
      </c>
      <c r="E213" s="3" t="s">
        <v>10</v>
      </c>
      <c r="F213" s="3" t="s">
        <v>5</v>
      </c>
      <c r="G213" s="3"/>
    </row>
    <row r="214" spans="1:7" x14ac:dyDescent="0.15">
      <c r="A214" s="2">
        <v>212</v>
      </c>
      <c r="B214" s="3" t="str">
        <f>"苏正磊"</f>
        <v>苏正磊</v>
      </c>
      <c r="C214" s="3" t="str">
        <f>"男        "</f>
        <v xml:space="preserve">男        </v>
      </c>
      <c r="D214" s="3" t="str">
        <f>"贺州学院公共事业管理"</f>
        <v>贺州学院公共事业管理</v>
      </c>
      <c r="E214" s="3" t="str">
        <f t="shared" ref="E214:E216" si="31">"本科"</f>
        <v>本科</v>
      </c>
      <c r="F214" s="3" t="s">
        <v>5</v>
      </c>
      <c r="G214" s="3"/>
    </row>
    <row r="215" spans="1:7" x14ac:dyDescent="0.15">
      <c r="A215" s="2">
        <v>213</v>
      </c>
      <c r="B215" s="3" t="str">
        <f>"陆兴宇"</f>
        <v>陆兴宇</v>
      </c>
      <c r="C215" s="3" t="str">
        <f t="shared" ref="C215:C220" si="32">"女        "</f>
        <v xml:space="preserve">女        </v>
      </c>
      <c r="D215" s="3" t="str">
        <f>"楚雄师范学院市场营销"</f>
        <v>楚雄师范学院市场营销</v>
      </c>
      <c r="E215" s="3" t="str">
        <f t="shared" si="31"/>
        <v>本科</v>
      </c>
      <c r="F215" s="3" t="s">
        <v>4</v>
      </c>
      <c r="G215" s="3"/>
    </row>
    <row r="216" spans="1:7" x14ac:dyDescent="0.15">
      <c r="A216" s="2">
        <v>214</v>
      </c>
      <c r="B216" s="3" t="str">
        <f>"王翠"</f>
        <v>王翠</v>
      </c>
      <c r="C216" s="3" t="str">
        <f t="shared" si="32"/>
        <v xml:space="preserve">女        </v>
      </c>
      <c r="D216" s="3" t="str">
        <f>"曲靖师范学院信息管理与信息系统"</f>
        <v>曲靖师范学院信息管理与信息系统</v>
      </c>
      <c r="E216" s="3" t="str">
        <f t="shared" si="31"/>
        <v>本科</v>
      </c>
      <c r="F216" s="3" t="s">
        <v>9</v>
      </c>
      <c r="G216" s="3"/>
    </row>
    <row r="217" spans="1:7" x14ac:dyDescent="0.15">
      <c r="A217" s="2">
        <v>215</v>
      </c>
      <c r="B217" s="3" t="str">
        <f>"陈金凤"</f>
        <v>陈金凤</v>
      </c>
      <c r="C217" s="3" t="str">
        <f t="shared" si="32"/>
        <v xml:space="preserve">女        </v>
      </c>
      <c r="D217" s="3" t="str">
        <f>"南宁地区教育学院语文教育"</f>
        <v>南宁地区教育学院语文教育</v>
      </c>
      <c r="E217" s="3" t="s">
        <v>10</v>
      </c>
      <c r="F217" s="3" t="s">
        <v>4</v>
      </c>
      <c r="G217" s="3"/>
    </row>
    <row r="218" spans="1:7" x14ac:dyDescent="0.15">
      <c r="A218" s="2">
        <v>216</v>
      </c>
      <c r="B218" s="3" t="str">
        <f>"陈允珍"</f>
        <v>陈允珍</v>
      </c>
      <c r="C218" s="3" t="str">
        <f t="shared" si="32"/>
        <v xml:space="preserve">女        </v>
      </c>
      <c r="D218" s="3" t="str">
        <f>"锦州师范高等专科学校语文教育"</f>
        <v>锦州师范高等专科学校语文教育</v>
      </c>
      <c r="E218" s="3" t="s">
        <v>10</v>
      </c>
      <c r="F218" s="3" t="s">
        <v>4</v>
      </c>
      <c r="G218" s="3"/>
    </row>
    <row r="219" spans="1:7" x14ac:dyDescent="0.15">
      <c r="A219" s="2">
        <v>217</v>
      </c>
      <c r="B219" s="3" t="str">
        <f>"黄婷"</f>
        <v>黄婷</v>
      </c>
      <c r="C219" s="3" t="str">
        <f t="shared" si="32"/>
        <v xml:space="preserve">女        </v>
      </c>
      <c r="D219" s="3" t="str">
        <f>"广西现代职业技术学院学前教育"</f>
        <v>广西现代职业技术学院学前教育</v>
      </c>
      <c r="E219" s="3" t="s">
        <v>10</v>
      </c>
      <c r="F219" s="3" t="s">
        <v>5</v>
      </c>
      <c r="G219" s="3"/>
    </row>
    <row r="220" spans="1:7" x14ac:dyDescent="0.15">
      <c r="A220" s="2">
        <v>218</v>
      </c>
      <c r="B220" s="3" t="str">
        <f>"凌的衣"</f>
        <v>凌的衣</v>
      </c>
      <c r="C220" s="3" t="str">
        <f t="shared" si="32"/>
        <v xml:space="preserve">女        </v>
      </c>
      <c r="D220" s="3" t="str">
        <f>"广西教育学院数学教育"</f>
        <v>广西教育学院数学教育</v>
      </c>
      <c r="E220" s="3" t="s">
        <v>10</v>
      </c>
      <c r="F220" s="3" t="s">
        <v>5</v>
      </c>
      <c r="G220" s="3"/>
    </row>
    <row r="221" spans="1:7" x14ac:dyDescent="0.15">
      <c r="A221" s="2">
        <v>219</v>
      </c>
      <c r="B221" s="3" t="str">
        <f>"黄港"</f>
        <v>黄港</v>
      </c>
      <c r="C221" s="3" t="str">
        <f>"男        "</f>
        <v xml:space="preserve">男        </v>
      </c>
      <c r="D221" s="3" t="str">
        <f>"贵州民族大学人文科技学院人力资源管理"</f>
        <v>贵州民族大学人文科技学院人力资源管理</v>
      </c>
      <c r="E221" s="3" t="str">
        <f t="shared" ref="E221:E223" si="33">"本科"</f>
        <v>本科</v>
      </c>
      <c r="F221" s="3" t="s">
        <v>4</v>
      </c>
      <c r="G221" s="3"/>
    </row>
    <row r="222" spans="1:7" x14ac:dyDescent="0.15">
      <c r="A222" s="2">
        <v>220</v>
      </c>
      <c r="B222" s="3" t="str">
        <f>"陆忠金"</f>
        <v>陆忠金</v>
      </c>
      <c r="C222" s="3" t="str">
        <f>"女        "</f>
        <v xml:space="preserve">女        </v>
      </c>
      <c r="D222" s="3" t="str">
        <f>"文山学院汉语言文学"</f>
        <v>文山学院汉语言文学</v>
      </c>
      <c r="E222" s="3" t="str">
        <f t="shared" si="33"/>
        <v>本科</v>
      </c>
      <c r="F222" s="3" t="s">
        <v>4</v>
      </c>
      <c r="G222" s="3"/>
    </row>
    <row r="223" spans="1:7" x14ac:dyDescent="0.15">
      <c r="A223" s="2">
        <v>221</v>
      </c>
      <c r="B223" s="3" t="str">
        <f>"王鹏"</f>
        <v>王鹏</v>
      </c>
      <c r="C223" s="3" t="str">
        <f>"男        "</f>
        <v xml:space="preserve">男        </v>
      </c>
      <c r="D223" s="3" t="str">
        <f>"云南民族大学公共事业管理专业"</f>
        <v>云南民族大学公共事业管理专业</v>
      </c>
      <c r="E223" s="3" t="str">
        <f t="shared" si="33"/>
        <v>本科</v>
      </c>
      <c r="F223" s="3" t="s">
        <v>4</v>
      </c>
      <c r="G223" s="3"/>
    </row>
    <row r="224" spans="1:7" x14ac:dyDescent="0.15">
      <c r="A224" s="2">
        <v>222</v>
      </c>
      <c r="B224" s="3" t="str">
        <f>"杨成坤"</f>
        <v>杨成坤</v>
      </c>
      <c r="C224" s="3" t="str">
        <f>"男        "</f>
        <v xml:space="preserve">男        </v>
      </c>
      <c r="D224" s="3" t="str">
        <f>"滇西科技师范学院数学教育"</f>
        <v>滇西科技师范学院数学教育</v>
      </c>
      <c r="E224" s="3" t="s">
        <v>10</v>
      </c>
      <c r="F224" s="3" t="s">
        <v>5</v>
      </c>
      <c r="G224" s="3"/>
    </row>
    <row r="225" spans="1:7" x14ac:dyDescent="0.15">
      <c r="A225" s="2">
        <v>223</v>
      </c>
      <c r="B225" s="3" t="str">
        <f>"谢文祥"</f>
        <v>谢文祥</v>
      </c>
      <c r="C225" s="3" t="str">
        <f>"男        "</f>
        <v xml:space="preserve">男        </v>
      </c>
      <c r="D225" s="3" t="str">
        <f>"云南农业大学食品质量与安全"</f>
        <v>云南农业大学食品质量与安全</v>
      </c>
      <c r="E225" s="3" t="str">
        <f t="shared" ref="E225:E227" si="34">"本科"</f>
        <v>本科</v>
      </c>
      <c r="F225" s="3" t="s">
        <v>5</v>
      </c>
      <c r="G225" s="3"/>
    </row>
    <row r="226" spans="1:7" x14ac:dyDescent="0.15">
      <c r="A226" s="2">
        <v>224</v>
      </c>
      <c r="B226" s="3" t="str">
        <f>"吴星星"</f>
        <v>吴星星</v>
      </c>
      <c r="C226" s="3" t="str">
        <f>"女        "</f>
        <v xml:space="preserve">女        </v>
      </c>
      <c r="D226" s="3" t="str">
        <f>"广西师范学院师园学院小学教育"</f>
        <v>广西师范学院师园学院小学教育</v>
      </c>
      <c r="E226" s="3" t="str">
        <f t="shared" si="34"/>
        <v>本科</v>
      </c>
      <c r="F226" s="3" t="s">
        <v>5</v>
      </c>
      <c r="G226" s="3"/>
    </row>
    <row r="227" spans="1:7" x14ac:dyDescent="0.15">
      <c r="A227" s="2">
        <v>225</v>
      </c>
      <c r="B227" s="3" t="str">
        <f>"陆月勤"</f>
        <v>陆月勤</v>
      </c>
      <c r="C227" s="3" t="str">
        <f>"女        "</f>
        <v xml:space="preserve">女        </v>
      </c>
      <c r="D227" s="3" t="str">
        <f>"河池学院汉语言文学"</f>
        <v>河池学院汉语言文学</v>
      </c>
      <c r="E227" s="3" t="str">
        <f t="shared" si="34"/>
        <v>本科</v>
      </c>
      <c r="F227" s="3" t="s">
        <v>4</v>
      </c>
      <c r="G227" s="3"/>
    </row>
    <row r="228" spans="1:7" x14ac:dyDescent="0.15">
      <c r="A228" s="2">
        <v>226</v>
      </c>
      <c r="B228" s="3" t="str">
        <f>"周秀花"</f>
        <v>周秀花</v>
      </c>
      <c r="C228" s="3" t="str">
        <f>"女        "</f>
        <v xml:space="preserve">女        </v>
      </c>
      <c r="D228" s="3" t="str">
        <f>"昭通学院思想政治教育"</f>
        <v>昭通学院思想政治教育</v>
      </c>
      <c r="E228" s="3" t="s">
        <v>10</v>
      </c>
      <c r="F228" s="3" t="s">
        <v>4</v>
      </c>
      <c r="G228" s="3"/>
    </row>
    <row r="229" spans="1:7" x14ac:dyDescent="0.15">
      <c r="A229" s="2">
        <v>227</v>
      </c>
      <c r="B229" s="3" t="str">
        <f>"何绍平"</f>
        <v>何绍平</v>
      </c>
      <c r="C229" s="3" t="str">
        <f>"男        "</f>
        <v xml:space="preserve">男        </v>
      </c>
      <c r="D229" s="3" t="str">
        <f>"曲靖师范学院汉语言文学"</f>
        <v>曲靖师范学院汉语言文学</v>
      </c>
      <c r="E229" s="3" t="str">
        <f t="shared" ref="E229:E230" si="35">"本科"</f>
        <v>本科</v>
      </c>
      <c r="F229" s="3" t="s">
        <v>4</v>
      </c>
      <c r="G229" s="3"/>
    </row>
    <row r="230" spans="1:7" x14ac:dyDescent="0.15">
      <c r="A230" s="2">
        <v>228</v>
      </c>
      <c r="B230" s="3" t="str">
        <f>"王丽"</f>
        <v>王丽</v>
      </c>
      <c r="C230" s="3" t="str">
        <f>"女        "</f>
        <v xml:space="preserve">女        </v>
      </c>
      <c r="D230" s="3" t="str">
        <f>"文山学院小学教育"</f>
        <v>文山学院小学教育</v>
      </c>
      <c r="E230" s="3" t="str">
        <f t="shared" si="35"/>
        <v>本科</v>
      </c>
      <c r="F230" s="3" t="s">
        <v>4</v>
      </c>
      <c r="G230" s="3"/>
    </row>
    <row r="231" spans="1:7" x14ac:dyDescent="0.15">
      <c r="A231" s="2">
        <v>229</v>
      </c>
      <c r="B231" s="3" t="str">
        <f>"张家园"</f>
        <v>张家园</v>
      </c>
      <c r="C231" s="3" t="str">
        <f>"男        "</f>
        <v xml:space="preserve">男        </v>
      </c>
      <c r="D231" s="3" t="str">
        <f>"德宏师范高等专科学校数学教育"</f>
        <v>德宏师范高等专科学校数学教育</v>
      </c>
      <c r="E231" s="3" t="s">
        <v>10</v>
      </c>
      <c r="F231" s="3" t="s">
        <v>5</v>
      </c>
      <c r="G231" s="3"/>
    </row>
    <row r="232" spans="1:7" x14ac:dyDescent="0.15">
      <c r="A232" s="2">
        <v>230</v>
      </c>
      <c r="B232" s="3" t="str">
        <f>"覃丽春"</f>
        <v>覃丽春</v>
      </c>
      <c r="C232" s="3" t="str">
        <f>"女        "</f>
        <v xml:space="preserve">女        </v>
      </c>
      <c r="D232" s="3" t="str">
        <f>"百色学院学前教育"</f>
        <v>百色学院学前教育</v>
      </c>
      <c r="E232" s="3" t="s">
        <v>10</v>
      </c>
      <c r="F232" s="3" t="s">
        <v>5</v>
      </c>
      <c r="G232" s="3"/>
    </row>
    <row r="233" spans="1:7" x14ac:dyDescent="0.15">
      <c r="A233" s="2">
        <v>231</v>
      </c>
      <c r="B233" s="3" t="str">
        <f>"张杰锦"</f>
        <v>张杰锦</v>
      </c>
      <c r="C233" s="3" t="str">
        <f>"女        "</f>
        <v xml:space="preserve">女        </v>
      </c>
      <c r="D233" s="3" t="str">
        <f>"云南师范大学广播电视学"</f>
        <v>云南师范大学广播电视学</v>
      </c>
      <c r="E233" s="3" t="str">
        <f t="shared" ref="E233:E234" si="36">"本科"</f>
        <v>本科</v>
      </c>
      <c r="F233" s="3" t="s">
        <v>4</v>
      </c>
      <c r="G233" s="3"/>
    </row>
    <row r="234" spans="1:7" x14ac:dyDescent="0.15">
      <c r="A234" s="2">
        <v>232</v>
      </c>
      <c r="B234" s="3" t="str">
        <f>"陆兴"</f>
        <v>陆兴</v>
      </c>
      <c r="C234" s="3" t="str">
        <f>"男        "</f>
        <v xml:space="preserve">男        </v>
      </c>
      <c r="D234" s="3" t="str">
        <f>"云南农业大学生态学"</f>
        <v>云南农业大学生态学</v>
      </c>
      <c r="E234" s="3" t="str">
        <f t="shared" si="36"/>
        <v>本科</v>
      </c>
      <c r="F234" s="3" t="s">
        <v>5</v>
      </c>
      <c r="G234" s="3"/>
    </row>
    <row r="235" spans="1:7" x14ac:dyDescent="0.15">
      <c r="A235" s="2">
        <v>233</v>
      </c>
      <c r="B235" s="3" t="str">
        <f>"陈江云"</f>
        <v>陈江云</v>
      </c>
      <c r="C235" s="3" t="str">
        <f>"男        "</f>
        <v xml:space="preserve">男        </v>
      </c>
      <c r="D235" s="3" t="str">
        <f>"文山学院数学教育"</f>
        <v>文山学院数学教育</v>
      </c>
      <c r="E235" s="3" t="s">
        <v>10</v>
      </c>
      <c r="F235" s="3" t="s">
        <v>5</v>
      </c>
      <c r="G235" s="3"/>
    </row>
    <row r="236" spans="1:7" x14ac:dyDescent="0.15">
      <c r="A236" s="2">
        <v>234</v>
      </c>
      <c r="B236" s="3" t="str">
        <f>"余海翠"</f>
        <v>余海翠</v>
      </c>
      <c r="C236" s="3" t="str">
        <f>"女        "</f>
        <v xml:space="preserve">女        </v>
      </c>
      <c r="D236" s="3" t="str">
        <f>"曲靖师范学院小学语文"</f>
        <v>曲靖师范学院小学语文</v>
      </c>
      <c r="E236" s="3" t="str">
        <f>"本科"</f>
        <v>本科</v>
      </c>
      <c r="F236" s="3" t="s">
        <v>4</v>
      </c>
      <c r="G236" s="3"/>
    </row>
    <row r="237" spans="1:7" x14ac:dyDescent="0.15">
      <c r="A237" s="2">
        <v>235</v>
      </c>
      <c r="B237" s="3" t="str">
        <f>"王廷磊"</f>
        <v>王廷磊</v>
      </c>
      <c r="C237" s="3" t="str">
        <f>"男        "</f>
        <v xml:space="preserve">男        </v>
      </c>
      <c r="D237" s="3" t="str">
        <f>"德宏师范高等专科学校初等教育"</f>
        <v>德宏师范高等专科学校初等教育</v>
      </c>
      <c r="E237" s="3" t="s">
        <v>10</v>
      </c>
      <c r="F237" s="3" t="s">
        <v>4</v>
      </c>
      <c r="G237" s="3"/>
    </row>
    <row r="238" spans="1:7" x14ac:dyDescent="0.15">
      <c r="A238" s="2">
        <v>236</v>
      </c>
      <c r="B238" s="3" t="str">
        <f>"赵永稳"</f>
        <v>赵永稳</v>
      </c>
      <c r="C238" s="3" t="str">
        <f>"男        "</f>
        <v xml:space="preserve">男        </v>
      </c>
      <c r="D238" s="3" t="str">
        <f>"云南大学旅游文化学院汉语言文学"</f>
        <v>云南大学旅游文化学院汉语言文学</v>
      </c>
      <c r="E238" s="3" t="str">
        <f>"本科"</f>
        <v>本科</v>
      </c>
      <c r="F238" s="3" t="s">
        <v>4</v>
      </c>
      <c r="G238" s="3"/>
    </row>
    <row r="239" spans="1:7" x14ac:dyDescent="0.15">
      <c r="A239" s="2">
        <v>237</v>
      </c>
      <c r="B239" s="3" t="str">
        <f>"许庆"</f>
        <v>许庆</v>
      </c>
      <c r="C239" s="3" t="str">
        <f>"女        "</f>
        <v xml:space="preserve">女        </v>
      </c>
      <c r="D239" s="3" t="str">
        <f>"广西教育学院数学教育"</f>
        <v>广西教育学院数学教育</v>
      </c>
      <c r="E239" s="3" t="s">
        <v>10</v>
      </c>
      <c r="F239" s="3" t="s">
        <v>5</v>
      </c>
      <c r="G239" s="3"/>
    </row>
    <row r="240" spans="1:7" x14ac:dyDescent="0.15">
      <c r="A240" s="2">
        <v>238</v>
      </c>
      <c r="B240" s="3" t="str">
        <f>"付松保"</f>
        <v>付松保</v>
      </c>
      <c r="C240" s="3" t="str">
        <f>"男        "</f>
        <v xml:space="preserve">男        </v>
      </c>
      <c r="D240" s="3" t="str">
        <f>"西双版纳职业技术学院语文教育"</f>
        <v>西双版纳职业技术学院语文教育</v>
      </c>
      <c r="E240" s="3" t="str">
        <f>"本科"</f>
        <v>本科</v>
      </c>
      <c r="F240" s="3" t="s">
        <v>4</v>
      </c>
      <c r="G240" s="3"/>
    </row>
    <row r="241" spans="1:7" x14ac:dyDescent="0.15">
      <c r="A241" s="2">
        <v>239</v>
      </c>
      <c r="B241" s="3" t="str">
        <f>"黄玉美"</f>
        <v>黄玉美</v>
      </c>
      <c r="C241" s="3" t="str">
        <f>"女        "</f>
        <v xml:space="preserve">女        </v>
      </c>
      <c r="D241" s="3" t="str">
        <f>"德宏师范高等专科学校初等教育"</f>
        <v>德宏师范高等专科学校初等教育</v>
      </c>
      <c r="E241" s="3" t="s">
        <v>10</v>
      </c>
      <c r="F241" s="3" t="s">
        <v>4</v>
      </c>
      <c r="G241" s="3"/>
    </row>
    <row r="242" spans="1:7" x14ac:dyDescent="0.15">
      <c r="A242" s="2">
        <v>240</v>
      </c>
      <c r="B242" s="3" t="str">
        <f>"王秋"</f>
        <v>王秋</v>
      </c>
      <c r="C242" s="3" t="str">
        <f>"女        "</f>
        <v xml:space="preserve">女        </v>
      </c>
      <c r="D242" s="3" t="str">
        <f>"昭通学院初等教育"</f>
        <v>昭通学院初等教育</v>
      </c>
      <c r="E242" s="3" t="s">
        <v>10</v>
      </c>
      <c r="F242" s="3" t="s">
        <v>4</v>
      </c>
      <c r="G242" s="3"/>
    </row>
    <row r="243" spans="1:7" x14ac:dyDescent="0.15">
      <c r="A243" s="2">
        <v>241</v>
      </c>
      <c r="B243" s="3" t="str">
        <f>"李标"</f>
        <v>李标</v>
      </c>
      <c r="C243" s="3" t="str">
        <f>"男        "</f>
        <v xml:space="preserve">男        </v>
      </c>
      <c r="D243" s="3" t="str">
        <f>"桂林师范高等专科学校小学教育"</f>
        <v>桂林师范高等专科学校小学教育</v>
      </c>
      <c r="E243" s="3" t="s">
        <v>10</v>
      </c>
      <c r="F243" s="3" t="s">
        <v>5</v>
      </c>
      <c r="G243" s="3"/>
    </row>
    <row r="244" spans="1:7" x14ac:dyDescent="0.15">
      <c r="A244" s="2">
        <v>242</v>
      </c>
      <c r="B244" s="3" t="str">
        <f>"丁艳"</f>
        <v>丁艳</v>
      </c>
      <c r="C244" s="3" t="str">
        <f>"女        "</f>
        <v xml:space="preserve">女        </v>
      </c>
      <c r="D244" s="3" t="str">
        <f>"丽江师范高等专科学校小学教育"</f>
        <v>丽江师范高等专科学校小学教育</v>
      </c>
      <c r="E244" s="3" t="s">
        <v>10</v>
      </c>
      <c r="F244" s="3" t="s">
        <v>5</v>
      </c>
      <c r="G244" s="3"/>
    </row>
    <row r="245" spans="1:7" x14ac:dyDescent="0.15">
      <c r="A245" s="2">
        <v>243</v>
      </c>
      <c r="B245" s="3" t="str">
        <f>"胡有洪"</f>
        <v>胡有洪</v>
      </c>
      <c r="C245" s="3" t="str">
        <f>"男        "</f>
        <v xml:space="preserve">男        </v>
      </c>
      <c r="D245" s="3" t="str">
        <f>"文山学院教育技术学"</f>
        <v>文山学院教育技术学</v>
      </c>
      <c r="E245" s="3" t="str">
        <f>"本科"</f>
        <v>本科</v>
      </c>
      <c r="F245" s="3" t="s">
        <v>9</v>
      </c>
      <c r="G245" s="3"/>
    </row>
    <row r="246" spans="1:7" x14ac:dyDescent="0.15">
      <c r="A246" s="2">
        <v>244</v>
      </c>
      <c r="B246" s="3" t="str">
        <f>"李德宏"</f>
        <v>李德宏</v>
      </c>
      <c r="C246" s="3" t="str">
        <f>"男        "</f>
        <v xml:space="preserve">男        </v>
      </c>
      <c r="D246" s="3" t="str">
        <f>"保山学院语文教育"</f>
        <v>保山学院语文教育</v>
      </c>
      <c r="E246" s="3" t="s">
        <v>10</v>
      </c>
      <c r="F246" s="3" t="s">
        <v>4</v>
      </c>
      <c r="G246" s="3"/>
    </row>
    <row r="247" spans="1:7" x14ac:dyDescent="0.15">
      <c r="A247" s="2">
        <v>245</v>
      </c>
      <c r="B247" s="3" t="str">
        <f>"林敏"</f>
        <v>林敏</v>
      </c>
      <c r="C247" s="3" t="str">
        <f t="shared" ref="C247:C256" si="37">"女        "</f>
        <v xml:space="preserve">女        </v>
      </c>
      <c r="D247" s="3" t="str">
        <f>"广西民族大学相思湖学院汉语言文学"</f>
        <v>广西民族大学相思湖学院汉语言文学</v>
      </c>
      <c r="E247" s="3" t="str">
        <f t="shared" ref="E247:E248" si="38">"本科"</f>
        <v>本科</v>
      </c>
      <c r="F247" s="3" t="s">
        <v>4</v>
      </c>
      <c r="G247" s="3"/>
    </row>
    <row r="248" spans="1:7" x14ac:dyDescent="0.15">
      <c r="A248" s="2">
        <v>246</v>
      </c>
      <c r="B248" s="3" t="str">
        <f>"廖杏怡"</f>
        <v>廖杏怡</v>
      </c>
      <c r="C248" s="3" t="str">
        <f t="shared" si="37"/>
        <v xml:space="preserve">女        </v>
      </c>
      <c r="D248" s="3" t="str">
        <f>"西北民族大学汉语言文学"</f>
        <v>西北民族大学汉语言文学</v>
      </c>
      <c r="E248" s="3" t="str">
        <f t="shared" si="38"/>
        <v>本科</v>
      </c>
      <c r="F248" s="3" t="s">
        <v>4</v>
      </c>
      <c r="G248" s="3"/>
    </row>
    <row r="249" spans="1:7" x14ac:dyDescent="0.15">
      <c r="A249" s="2">
        <v>247</v>
      </c>
      <c r="B249" s="3" t="str">
        <f>"潘小金"</f>
        <v>潘小金</v>
      </c>
      <c r="C249" s="3" t="str">
        <f t="shared" si="37"/>
        <v xml:space="preserve">女        </v>
      </c>
      <c r="D249" s="3" t="str">
        <f>"百色学院学前教育"</f>
        <v>百色学院学前教育</v>
      </c>
      <c r="E249" s="3" t="s">
        <v>10</v>
      </c>
      <c r="F249" s="3" t="s">
        <v>5</v>
      </c>
      <c r="G249" s="3"/>
    </row>
    <row r="250" spans="1:7" x14ac:dyDescent="0.15">
      <c r="A250" s="2">
        <v>248</v>
      </c>
      <c r="B250" s="3" t="str">
        <f>"阮秋娜"</f>
        <v>阮秋娜</v>
      </c>
      <c r="C250" s="3" t="str">
        <f t="shared" si="37"/>
        <v xml:space="preserve">女        </v>
      </c>
      <c r="D250" s="3" t="str">
        <f>"玉林师范学院教育学"</f>
        <v>玉林师范学院教育学</v>
      </c>
      <c r="E250" s="3" t="str">
        <f>"本科"</f>
        <v>本科</v>
      </c>
      <c r="F250" s="3" t="s">
        <v>4</v>
      </c>
      <c r="G250" s="3"/>
    </row>
    <row r="251" spans="1:7" x14ac:dyDescent="0.15">
      <c r="A251" s="2">
        <v>249</v>
      </c>
      <c r="B251" s="3" t="str">
        <f>"兰珍林"</f>
        <v>兰珍林</v>
      </c>
      <c r="C251" s="3" t="str">
        <f t="shared" si="37"/>
        <v xml:space="preserve">女        </v>
      </c>
      <c r="D251" s="3" t="str">
        <f>"广西科技师范学院学前教育"</f>
        <v>广西科技师范学院学前教育</v>
      </c>
      <c r="E251" s="3" t="s">
        <v>10</v>
      </c>
      <c r="F251" s="3" t="s">
        <v>5</v>
      </c>
      <c r="G251" s="3"/>
    </row>
    <row r="252" spans="1:7" x14ac:dyDescent="0.15">
      <c r="A252" s="2">
        <v>250</v>
      </c>
      <c r="B252" s="3" t="str">
        <f>"黄彩莲"</f>
        <v>黄彩莲</v>
      </c>
      <c r="C252" s="3" t="str">
        <f t="shared" si="37"/>
        <v xml:space="preserve">女        </v>
      </c>
      <c r="D252" s="3" t="str">
        <f>"云南大学滇池学院行政管理"</f>
        <v>云南大学滇池学院行政管理</v>
      </c>
      <c r="E252" s="3" t="str">
        <f t="shared" ref="E252:E255" si="39">"本科"</f>
        <v>本科</v>
      </c>
      <c r="F252" s="3" t="s">
        <v>4</v>
      </c>
      <c r="G252" s="3"/>
    </row>
    <row r="253" spans="1:7" x14ac:dyDescent="0.15">
      <c r="A253" s="2">
        <v>251</v>
      </c>
      <c r="B253" s="3" t="str">
        <f>"杨杏美"</f>
        <v>杨杏美</v>
      </c>
      <c r="C253" s="3" t="str">
        <f t="shared" si="37"/>
        <v xml:space="preserve">女        </v>
      </c>
      <c r="D253" s="3" t="str">
        <f>"云南师范大学应用化学"</f>
        <v>云南师范大学应用化学</v>
      </c>
      <c r="E253" s="3" t="str">
        <f t="shared" si="39"/>
        <v>本科</v>
      </c>
      <c r="F253" s="3" t="s">
        <v>5</v>
      </c>
      <c r="G253" s="3"/>
    </row>
    <row r="254" spans="1:7" x14ac:dyDescent="0.15">
      <c r="A254" s="2">
        <v>252</v>
      </c>
      <c r="B254" s="3" t="str">
        <f>"杨金双"</f>
        <v>杨金双</v>
      </c>
      <c r="C254" s="3" t="str">
        <f t="shared" si="37"/>
        <v xml:space="preserve">女        </v>
      </c>
      <c r="D254" s="3" t="str">
        <f>"云南师范大学文理学院汉语言文学"</f>
        <v>云南师范大学文理学院汉语言文学</v>
      </c>
      <c r="E254" s="3" t="str">
        <f t="shared" si="39"/>
        <v>本科</v>
      </c>
      <c r="F254" s="3" t="s">
        <v>4</v>
      </c>
      <c r="G254" s="3"/>
    </row>
    <row r="255" spans="1:7" x14ac:dyDescent="0.15">
      <c r="A255" s="2">
        <v>253</v>
      </c>
      <c r="B255" s="3" t="str">
        <f>"杨艳波"</f>
        <v>杨艳波</v>
      </c>
      <c r="C255" s="3" t="str">
        <f t="shared" si="37"/>
        <v xml:space="preserve">女        </v>
      </c>
      <c r="D255" s="3" t="str">
        <f>"普洱学院汉语言文学"</f>
        <v>普洱学院汉语言文学</v>
      </c>
      <c r="E255" s="3" t="str">
        <f t="shared" si="39"/>
        <v>本科</v>
      </c>
      <c r="F255" s="3" t="s">
        <v>4</v>
      </c>
      <c r="G255" s="3"/>
    </row>
    <row r="256" spans="1:7" x14ac:dyDescent="0.15">
      <c r="A256" s="2">
        <v>254</v>
      </c>
      <c r="B256" s="3" t="str">
        <f>"覃善梅"</f>
        <v>覃善梅</v>
      </c>
      <c r="C256" s="3" t="str">
        <f t="shared" si="37"/>
        <v xml:space="preserve">女        </v>
      </c>
      <c r="D256" s="3" t="str">
        <f>"广西桂林市师范高等专科学校初等教育"</f>
        <v>广西桂林市师范高等专科学校初等教育</v>
      </c>
      <c r="E256" s="3" t="s">
        <v>10</v>
      </c>
      <c r="F256" s="3" t="s">
        <v>4</v>
      </c>
      <c r="G256" s="3"/>
    </row>
    <row r="257" spans="1:7" x14ac:dyDescent="0.15">
      <c r="A257" s="2">
        <v>255</v>
      </c>
      <c r="B257" s="3" t="str">
        <f>"谢宇"</f>
        <v>谢宇</v>
      </c>
      <c r="C257" s="3" t="str">
        <f>"男        "</f>
        <v xml:space="preserve">男        </v>
      </c>
      <c r="D257" s="3" t="str">
        <f>"昭通学院小学教育"</f>
        <v>昭通学院小学教育</v>
      </c>
      <c r="E257" s="3" t="str">
        <f>"本科"</f>
        <v>本科</v>
      </c>
      <c r="F257" s="3" t="s">
        <v>5</v>
      </c>
      <c r="G257" s="3"/>
    </row>
    <row r="258" spans="1:7" x14ac:dyDescent="0.15">
      <c r="A258" s="2">
        <v>256</v>
      </c>
      <c r="B258" s="3" t="str">
        <f>"尹美凤"</f>
        <v>尹美凤</v>
      </c>
      <c r="C258" s="3" t="str">
        <f>"女        "</f>
        <v xml:space="preserve">女        </v>
      </c>
      <c r="D258" s="3" t="str">
        <f>"丽江师范高等专科学校思想政治教育"</f>
        <v>丽江师范高等专科学校思想政治教育</v>
      </c>
      <c r="E258" s="3" t="s">
        <v>10</v>
      </c>
      <c r="F258" s="3" t="s">
        <v>4</v>
      </c>
      <c r="G258" s="3"/>
    </row>
    <row r="259" spans="1:7" x14ac:dyDescent="0.15">
      <c r="A259" s="2">
        <v>257</v>
      </c>
      <c r="B259" s="3" t="str">
        <f>"付绍光"</f>
        <v>付绍光</v>
      </c>
      <c r="C259" s="3" t="str">
        <f>"男        "</f>
        <v xml:space="preserve">男        </v>
      </c>
      <c r="D259" s="3" t="str">
        <f>"昆明学院化学"</f>
        <v>昆明学院化学</v>
      </c>
      <c r="E259" s="3" t="str">
        <f t="shared" ref="E259:E260" si="40">"本科"</f>
        <v>本科</v>
      </c>
      <c r="F259" s="3" t="s">
        <v>5</v>
      </c>
      <c r="G259" s="3"/>
    </row>
    <row r="260" spans="1:7" x14ac:dyDescent="0.15">
      <c r="A260" s="2">
        <v>258</v>
      </c>
      <c r="B260" s="3" t="str">
        <f>"杨秀委"</f>
        <v>杨秀委</v>
      </c>
      <c r="C260" s="3" t="str">
        <f>"女        "</f>
        <v xml:space="preserve">女        </v>
      </c>
      <c r="D260" s="3" t="str">
        <f>"百色学院学前教育"</f>
        <v>百色学院学前教育</v>
      </c>
      <c r="E260" s="3" t="str">
        <f t="shared" si="40"/>
        <v>本科</v>
      </c>
      <c r="F260" s="3" t="s">
        <v>5</v>
      </c>
      <c r="G260" s="3"/>
    </row>
    <row r="261" spans="1:7" x14ac:dyDescent="0.15">
      <c r="A261" s="2">
        <v>259</v>
      </c>
      <c r="B261" s="3" t="str">
        <f>"杞红"</f>
        <v>杞红</v>
      </c>
      <c r="C261" s="3" t="str">
        <f>"女        "</f>
        <v xml:space="preserve">女        </v>
      </c>
      <c r="D261" s="3" t="str">
        <f>"丽江师范高等专科学校小学教育"</f>
        <v>丽江师范高等专科学校小学教育</v>
      </c>
      <c r="E261" s="3" t="s">
        <v>10</v>
      </c>
      <c r="F261" s="3" t="s">
        <v>4</v>
      </c>
      <c r="G261" s="3"/>
    </row>
    <row r="262" spans="1:7" x14ac:dyDescent="0.15">
      <c r="A262" s="2">
        <v>260</v>
      </c>
      <c r="B262" s="3" t="str">
        <f>"杨清清"</f>
        <v>杨清清</v>
      </c>
      <c r="C262" s="3" t="str">
        <f>"女        "</f>
        <v xml:space="preserve">女        </v>
      </c>
      <c r="D262" s="3" t="str">
        <f>"普洱学院初等教育"</f>
        <v>普洱学院初等教育</v>
      </c>
      <c r="E262" s="3" t="s">
        <v>10</v>
      </c>
      <c r="F262" s="3" t="s">
        <v>5</v>
      </c>
      <c r="G262" s="3"/>
    </row>
    <row r="263" spans="1:7" x14ac:dyDescent="0.15">
      <c r="A263" s="2">
        <v>261</v>
      </c>
      <c r="B263" s="3" t="str">
        <f>"彭杨水"</f>
        <v>彭杨水</v>
      </c>
      <c r="C263" s="3" t="str">
        <f>"女        "</f>
        <v xml:space="preserve">女        </v>
      </c>
      <c r="D263" s="3" t="str">
        <f>"贵州民族大学人文科技学院行政管理"</f>
        <v>贵州民族大学人文科技学院行政管理</v>
      </c>
      <c r="E263" s="3" t="str">
        <f>"本科"</f>
        <v>本科</v>
      </c>
      <c r="F263" s="3" t="s">
        <v>5</v>
      </c>
      <c r="G263" s="3"/>
    </row>
    <row r="264" spans="1:7" x14ac:dyDescent="0.15">
      <c r="A264" s="2">
        <v>262</v>
      </c>
      <c r="B264" s="3" t="str">
        <f>"荷学"</f>
        <v>荷学</v>
      </c>
      <c r="C264" s="3" t="str">
        <f>"男        "</f>
        <v xml:space="preserve">男        </v>
      </c>
      <c r="D264" s="3" t="str">
        <f>"广西现代职业技术学院学前教育"</f>
        <v>广西现代职业技术学院学前教育</v>
      </c>
      <c r="E264" s="3" t="s">
        <v>10</v>
      </c>
      <c r="F264" s="3" t="s">
        <v>5</v>
      </c>
      <c r="G264" s="3"/>
    </row>
    <row r="265" spans="1:7" x14ac:dyDescent="0.15">
      <c r="A265" s="2">
        <v>263</v>
      </c>
      <c r="B265" s="3" t="str">
        <f>"胡龙舟"</f>
        <v>胡龙舟</v>
      </c>
      <c r="C265" s="3" t="str">
        <f>"男        "</f>
        <v xml:space="preserve">男        </v>
      </c>
      <c r="D265" s="3" t="str">
        <f>"昭通学院物理教育"</f>
        <v>昭通学院物理教育</v>
      </c>
      <c r="E265" s="3" t="s">
        <v>10</v>
      </c>
      <c r="F265" s="3" t="s">
        <v>5</v>
      </c>
      <c r="G265" s="3"/>
    </row>
    <row r="266" spans="1:7" x14ac:dyDescent="0.15">
      <c r="A266" s="2">
        <v>264</v>
      </c>
      <c r="B266" s="3" t="str">
        <f>"李世金"</f>
        <v>李世金</v>
      </c>
      <c r="C266" s="3" t="str">
        <f>"男        "</f>
        <v xml:space="preserve">男        </v>
      </c>
      <c r="D266" s="3" t="str">
        <f>"南宁地区教育学院数学教育"</f>
        <v>南宁地区教育学院数学教育</v>
      </c>
      <c r="E266" s="3" t="s">
        <v>10</v>
      </c>
      <c r="F266" s="3" t="s">
        <v>5</v>
      </c>
      <c r="G266" s="3"/>
    </row>
    <row r="267" spans="1:7" x14ac:dyDescent="0.15">
      <c r="A267" s="2">
        <v>265</v>
      </c>
      <c r="B267" s="3" t="str">
        <f>"邓苏郁"</f>
        <v>邓苏郁</v>
      </c>
      <c r="C267" s="3" t="str">
        <f t="shared" ref="C267:C272" si="41">"女        "</f>
        <v xml:space="preserve">女        </v>
      </c>
      <c r="D267" s="3" t="str">
        <f>"百色学院金属材料工程"</f>
        <v>百色学院金属材料工程</v>
      </c>
      <c r="E267" s="3" t="str">
        <f t="shared" ref="E267:E268" si="42">"本科"</f>
        <v>本科</v>
      </c>
      <c r="F267" s="3" t="s">
        <v>5</v>
      </c>
      <c r="G267" s="3"/>
    </row>
    <row r="268" spans="1:7" x14ac:dyDescent="0.15">
      <c r="A268" s="2">
        <v>266</v>
      </c>
      <c r="B268" s="3" t="str">
        <f>"平欢"</f>
        <v>平欢</v>
      </c>
      <c r="C268" s="3" t="str">
        <f t="shared" si="41"/>
        <v xml:space="preserve">女        </v>
      </c>
      <c r="D268" s="3" t="str">
        <f>"红河学院小学教育"</f>
        <v>红河学院小学教育</v>
      </c>
      <c r="E268" s="3" t="str">
        <f t="shared" si="42"/>
        <v>本科</v>
      </c>
      <c r="F268" s="3" t="s">
        <v>5</v>
      </c>
      <c r="G268" s="3"/>
    </row>
    <row r="269" spans="1:7" x14ac:dyDescent="0.15">
      <c r="A269" s="2">
        <v>267</v>
      </c>
      <c r="B269" s="3" t="str">
        <f>"黄小妹"</f>
        <v>黄小妹</v>
      </c>
      <c r="C269" s="3" t="str">
        <f t="shared" si="41"/>
        <v xml:space="preserve">女        </v>
      </c>
      <c r="D269" s="3" t="str">
        <f>"百色学院汉语"</f>
        <v>百色学院汉语</v>
      </c>
      <c r="E269" s="3" t="s">
        <v>10</v>
      </c>
      <c r="F269" s="3" t="s">
        <v>4</v>
      </c>
      <c r="G269" s="3"/>
    </row>
    <row r="270" spans="1:7" x14ac:dyDescent="0.15">
      <c r="A270" s="2">
        <v>268</v>
      </c>
      <c r="B270" s="3" t="str">
        <f>"何凤萍"</f>
        <v>何凤萍</v>
      </c>
      <c r="C270" s="3" t="str">
        <f t="shared" si="41"/>
        <v xml:space="preserve">女        </v>
      </c>
      <c r="D270" s="3" t="str">
        <f>"广西科技师范学院思想政治教育"</f>
        <v>广西科技师范学院思想政治教育</v>
      </c>
      <c r="E270" s="3" t="s">
        <v>10</v>
      </c>
      <c r="F270" s="3" t="s">
        <v>4</v>
      </c>
      <c r="G270" s="3"/>
    </row>
    <row r="271" spans="1:7" x14ac:dyDescent="0.15">
      <c r="A271" s="2">
        <v>269</v>
      </c>
      <c r="B271" s="3" t="str">
        <f>"陆恙"</f>
        <v>陆恙</v>
      </c>
      <c r="C271" s="3" t="str">
        <f t="shared" si="41"/>
        <v xml:space="preserve">女        </v>
      </c>
      <c r="D271" s="3" t="str">
        <f>"西南林业大学会计学"</f>
        <v>西南林业大学会计学</v>
      </c>
      <c r="E271" s="3" t="str">
        <f t="shared" ref="E271:E272" si="43">"本科"</f>
        <v>本科</v>
      </c>
      <c r="F271" s="3" t="s">
        <v>5</v>
      </c>
      <c r="G271" s="3"/>
    </row>
    <row r="272" spans="1:7" x14ac:dyDescent="0.15">
      <c r="A272" s="2">
        <v>270</v>
      </c>
      <c r="B272" s="3" t="str">
        <f>"覃艳红"</f>
        <v>覃艳红</v>
      </c>
      <c r="C272" s="3" t="str">
        <f t="shared" si="41"/>
        <v xml:space="preserve">女        </v>
      </c>
      <c r="D272" s="3" t="str">
        <f>"成都体育学院公共事业管理"</f>
        <v>成都体育学院公共事业管理</v>
      </c>
      <c r="E272" s="3" t="str">
        <f t="shared" si="43"/>
        <v>本科</v>
      </c>
      <c r="F272" s="3" t="s">
        <v>5</v>
      </c>
      <c r="G272" s="3"/>
    </row>
    <row r="273" spans="1:7" x14ac:dyDescent="0.15">
      <c r="A273" s="2">
        <v>271</v>
      </c>
      <c r="B273" s="3" t="str">
        <f>"姚红宇"</f>
        <v>姚红宇</v>
      </c>
      <c r="C273" s="3" t="str">
        <f>"男        "</f>
        <v xml:space="preserve">男        </v>
      </c>
      <c r="D273" s="3" t="str">
        <f>"德宏师范高等专科学校数学教育"</f>
        <v>德宏师范高等专科学校数学教育</v>
      </c>
      <c r="E273" s="3" t="s">
        <v>10</v>
      </c>
      <c r="F273" s="3" t="s">
        <v>5</v>
      </c>
      <c r="G273" s="3"/>
    </row>
    <row r="274" spans="1:7" x14ac:dyDescent="0.15">
      <c r="A274" s="2">
        <v>272</v>
      </c>
      <c r="B274" s="3" t="str">
        <f>"黄美运"</f>
        <v>黄美运</v>
      </c>
      <c r="C274" s="3" t="str">
        <f>"女        "</f>
        <v xml:space="preserve">女        </v>
      </c>
      <c r="D274" s="3" t="str">
        <f>"百色学院化学"</f>
        <v>百色学院化学</v>
      </c>
      <c r="E274" s="3" t="str">
        <f t="shared" ref="E274:E275" si="44">"本科"</f>
        <v>本科</v>
      </c>
      <c r="F274" s="3" t="s">
        <v>5</v>
      </c>
      <c r="G274" s="3"/>
    </row>
    <row r="275" spans="1:7" x14ac:dyDescent="0.15">
      <c r="A275" s="2">
        <v>273</v>
      </c>
      <c r="B275" s="3" t="str">
        <f>"蒙友英"</f>
        <v>蒙友英</v>
      </c>
      <c r="C275" s="3" t="str">
        <f>"女        "</f>
        <v xml:space="preserve">女        </v>
      </c>
      <c r="D275" s="3" t="str">
        <f>"云南师范大学文秘"</f>
        <v>云南师范大学文秘</v>
      </c>
      <c r="E275" s="3" t="str">
        <f t="shared" si="44"/>
        <v>本科</v>
      </c>
      <c r="F275" s="3" t="s">
        <v>4</v>
      </c>
      <c r="G275" s="3"/>
    </row>
    <row r="276" spans="1:7" x14ac:dyDescent="0.15">
      <c r="A276" s="2">
        <v>274</v>
      </c>
      <c r="B276" s="3" t="str">
        <f>"黄丽燕"</f>
        <v>黄丽燕</v>
      </c>
      <c r="C276" s="3" t="str">
        <f>"女        "</f>
        <v xml:space="preserve">女        </v>
      </c>
      <c r="D276" s="3" t="str">
        <f>"广西科技师范学院数学教育"</f>
        <v>广西科技师范学院数学教育</v>
      </c>
      <c r="E276" s="3" t="s">
        <v>10</v>
      </c>
      <c r="F276" s="3" t="s">
        <v>5</v>
      </c>
      <c r="G276" s="3"/>
    </row>
    <row r="277" spans="1:7" x14ac:dyDescent="0.15">
      <c r="A277" s="2">
        <v>275</v>
      </c>
      <c r="B277" s="3" t="str">
        <f>"魏敬梅"</f>
        <v>魏敬梅</v>
      </c>
      <c r="C277" s="3" t="str">
        <f>"女        "</f>
        <v xml:space="preserve">女        </v>
      </c>
      <c r="D277" s="3" t="str">
        <f>"文山学院小学教育"</f>
        <v>文山学院小学教育</v>
      </c>
      <c r="E277" s="3" t="str">
        <f t="shared" ref="E277:E284" si="45">"本科"</f>
        <v>本科</v>
      </c>
      <c r="F277" s="3" t="s">
        <v>4</v>
      </c>
      <c r="G277" s="3"/>
    </row>
    <row r="278" spans="1:7" x14ac:dyDescent="0.15">
      <c r="A278" s="2">
        <v>276</v>
      </c>
      <c r="B278" s="3" t="str">
        <f>"黄莘惠"</f>
        <v>黄莘惠</v>
      </c>
      <c r="C278" s="3" t="str">
        <f>"女        "</f>
        <v xml:space="preserve">女        </v>
      </c>
      <c r="D278" s="3" t="str">
        <f>"广西师范学院师园学院小学教育"</f>
        <v>广西师范学院师园学院小学教育</v>
      </c>
      <c r="E278" s="3" t="str">
        <f t="shared" si="45"/>
        <v>本科</v>
      </c>
      <c r="F278" s="3" t="s">
        <v>4</v>
      </c>
      <c r="G278" s="3"/>
    </row>
    <row r="279" spans="1:7" x14ac:dyDescent="0.15">
      <c r="A279" s="2">
        <v>277</v>
      </c>
      <c r="B279" s="3" t="str">
        <f>"茶金富"</f>
        <v>茶金富</v>
      </c>
      <c r="C279" s="3" t="str">
        <f>"男        "</f>
        <v xml:space="preserve">男        </v>
      </c>
      <c r="D279" s="3" t="str">
        <f>"云南民族大学公共事业管理"</f>
        <v>云南民族大学公共事业管理</v>
      </c>
      <c r="E279" s="3" t="str">
        <f t="shared" si="45"/>
        <v>本科</v>
      </c>
      <c r="F279" s="3" t="s">
        <v>5</v>
      </c>
      <c r="G279" s="3"/>
    </row>
    <row r="280" spans="1:7" x14ac:dyDescent="0.15">
      <c r="A280" s="2">
        <v>278</v>
      </c>
      <c r="B280" s="3" t="str">
        <f>"李跃徽"</f>
        <v>李跃徽</v>
      </c>
      <c r="C280" s="3" t="str">
        <f t="shared" ref="C280:C286" si="46">"女        "</f>
        <v xml:space="preserve">女        </v>
      </c>
      <c r="D280" s="3" t="str">
        <f>"云南省师范大学旅游管理与服务教育"</f>
        <v>云南省师范大学旅游管理与服务教育</v>
      </c>
      <c r="E280" s="3" t="str">
        <f t="shared" si="45"/>
        <v>本科</v>
      </c>
      <c r="F280" s="3" t="s">
        <v>4</v>
      </c>
      <c r="G280" s="3"/>
    </row>
    <row r="281" spans="1:7" x14ac:dyDescent="0.15">
      <c r="A281" s="2">
        <v>279</v>
      </c>
      <c r="B281" s="3" t="str">
        <f>"黄钰雪"</f>
        <v>黄钰雪</v>
      </c>
      <c r="C281" s="3" t="str">
        <f t="shared" si="46"/>
        <v xml:space="preserve">女        </v>
      </c>
      <c r="D281" s="3" t="str">
        <f>"曲靖师范学院小学教育"</f>
        <v>曲靖师范学院小学教育</v>
      </c>
      <c r="E281" s="3" t="str">
        <f t="shared" si="45"/>
        <v>本科</v>
      </c>
      <c r="F281" s="3" t="s">
        <v>4</v>
      </c>
      <c r="G281" s="3"/>
    </row>
    <row r="282" spans="1:7" x14ac:dyDescent="0.15">
      <c r="A282" s="2">
        <v>280</v>
      </c>
      <c r="B282" s="3" t="str">
        <f>"刘梦珍"</f>
        <v>刘梦珍</v>
      </c>
      <c r="C282" s="3" t="str">
        <f t="shared" si="46"/>
        <v xml:space="preserve">女        </v>
      </c>
      <c r="D282" s="3" t="str">
        <f>"桂林理工大学博文管理学院财务管理"</f>
        <v>桂林理工大学博文管理学院财务管理</v>
      </c>
      <c r="E282" s="3" t="str">
        <f t="shared" si="45"/>
        <v>本科</v>
      </c>
      <c r="F282" s="3" t="s">
        <v>4</v>
      </c>
      <c r="G282" s="3"/>
    </row>
    <row r="283" spans="1:7" x14ac:dyDescent="0.15">
      <c r="A283" s="2">
        <v>281</v>
      </c>
      <c r="B283" s="3" t="str">
        <f>"李白莲"</f>
        <v>李白莲</v>
      </c>
      <c r="C283" s="3" t="str">
        <f t="shared" si="46"/>
        <v xml:space="preserve">女        </v>
      </c>
      <c r="D283" s="3" t="str">
        <f>"商丘师范学院教育技术学"</f>
        <v>商丘师范学院教育技术学</v>
      </c>
      <c r="E283" s="3" t="str">
        <f t="shared" si="45"/>
        <v>本科</v>
      </c>
      <c r="F283" s="3" t="s">
        <v>9</v>
      </c>
      <c r="G283" s="3"/>
    </row>
    <row r="284" spans="1:7" x14ac:dyDescent="0.15">
      <c r="A284" s="2">
        <v>282</v>
      </c>
      <c r="B284" s="3" t="str">
        <f>"凌叶"</f>
        <v>凌叶</v>
      </c>
      <c r="C284" s="3" t="str">
        <f t="shared" si="46"/>
        <v xml:space="preserve">女        </v>
      </c>
      <c r="D284" s="3" t="str">
        <f>"广西师范学院小学教育"</f>
        <v>广西师范学院小学教育</v>
      </c>
      <c r="E284" s="3" t="str">
        <f t="shared" si="45"/>
        <v>本科</v>
      </c>
      <c r="F284" s="3" t="s">
        <v>4</v>
      </c>
      <c r="G284" s="3"/>
    </row>
    <row r="285" spans="1:7" x14ac:dyDescent="0.15">
      <c r="A285" s="2">
        <v>283</v>
      </c>
      <c r="B285" s="3" t="str">
        <f>"吴英萍"</f>
        <v>吴英萍</v>
      </c>
      <c r="C285" s="3" t="str">
        <f t="shared" si="46"/>
        <v xml:space="preserve">女        </v>
      </c>
      <c r="D285" s="3" t="str">
        <f>"百色学院综合文科教育"</f>
        <v>百色学院综合文科教育</v>
      </c>
      <c r="E285" s="3" t="s">
        <v>10</v>
      </c>
      <c r="F285" s="3" t="s">
        <v>4</v>
      </c>
      <c r="G285" s="3"/>
    </row>
    <row r="286" spans="1:7" x14ac:dyDescent="0.15">
      <c r="A286" s="2">
        <v>284</v>
      </c>
      <c r="B286" s="3" t="str">
        <f>"唐昌凤"</f>
        <v>唐昌凤</v>
      </c>
      <c r="C286" s="3" t="str">
        <f t="shared" si="46"/>
        <v xml:space="preserve">女        </v>
      </c>
      <c r="D286" s="3" t="str">
        <f>"玉溪师范学院教育技术学"</f>
        <v>玉溪师范学院教育技术学</v>
      </c>
      <c r="E286" s="3" t="str">
        <f t="shared" ref="E286:E288" si="47">"本科"</f>
        <v>本科</v>
      </c>
      <c r="F286" s="3" t="s">
        <v>9</v>
      </c>
      <c r="G286" s="3"/>
    </row>
    <row r="287" spans="1:7" x14ac:dyDescent="0.15">
      <c r="A287" s="2">
        <v>285</v>
      </c>
      <c r="B287" s="3" t="str">
        <f>"钱春高"</f>
        <v>钱春高</v>
      </c>
      <c r="C287" s="3" t="str">
        <f>"男        "</f>
        <v xml:space="preserve">男        </v>
      </c>
      <c r="D287" s="3" t="str">
        <f>"西南林业大学信息与计算科学"</f>
        <v>西南林业大学信息与计算科学</v>
      </c>
      <c r="E287" s="3" t="str">
        <f t="shared" si="47"/>
        <v>本科</v>
      </c>
      <c r="F287" s="3" t="s">
        <v>5</v>
      </c>
      <c r="G287" s="3"/>
    </row>
    <row r="288" spans="1:7" x14ac:dyDescent="0.15">
      <c r="A288" s="2">
        <v>286</v>
      </c>
      <c r="B288" s="3" t="str">
        <f>"陆成军"</f>
        <v>陆成军</v>
      </c>
      <c r="C288" s="3" t="str">
        <f>"男        "</f>
        <v xml:space="preserve">男        </v>
      </c>
      <c r="D288" s="3" t="str">
        <f>"云南民族大学汉语言文学"</f>
        <v>云南民族大学汉语言文学</v>
      </c>
      <c r="E288" s="3" t="str">
        <f t="shared" si="47"/>
        <v>本科</v>
      </c>
      <c r="F288" s="3" t="s">
        <v>4</v>
      </c>
      <c r="G288" s="3"/>
    </row>
    <row r="289" spans="1:7" x14ac:dyDescent="0.15">
      <c r="A289" s="2">
        <v>287</v>
      </c>
      <c r="B289" s="3" t="str">
        <f>"黄美凤"</f>
        <v>黄美凤</v>
      </c>
      <c r="C289" s="3" t="str">
        <f t="shared" ref="C289:C294" si="48">"女        "</f>
        <v xml:space="preserve">女        </v>
      </c>
      <c r="D289" s="3" t="str">
        <f>"广西幼儿师范高等专科学校语文教育"</f>
        <v>广西幼儿师范高等专科学校语文教育</v>
      </c>
      <c r="E289" s="3" t="s">
        <v>10</v>
      </c>
      <c r="F289" s="3" t="s">
        <v>4</v>
      </c>
      <c r="G289" s="3"/>
    </row>
    <row r="290" spans="1:7" x14ac:dyDescent="0.15">
      <c r="A290" s="2">
        <v>288</v>
      </c>
      <c r="B290" s="3" t="str">
        <f>"赵健圆"</f>
        <v>赵健圆</v>
      </c>
      <c r="C290" s="3" t="str">
        <f t="shared" si="48"/>
        <v xml:space="preserve">女        </v>
      </c>
      <c r="D290" s="3" t="str">
        <f>"云南师范大学文理学院工商管理"</f>
        <v>云南师范大学文理学院工商管理</v>
      </c>
      <c r="E290" s="3" t="str">
        <f>"本科"</f>
        <v>本科</v>
      </c>
      <c r="F290" s="3" t="s">
        <v>4</v>
      </c>
      <c r="G290" s="3"/>
    </row>
    <row r="291" spans="1:7" x14ac:dyDescent="0.15">
      <c r="A291" s="2">
        <v>289</v>
      </c>
      <c r="B291" s="3" t="str">
        <f>"黄小凤"</f>
        <v>黄小凤</v>
      </c>
      <c r="C291" s="3" t="str">
        <f t="shared" si="48"/>
        <v xml:space="preserve">女        </v>
      </c>
      <c r="D291" s="3" t="str">
        <f>"百色学院小学教育"</f>
        <v>百色学院小学教育</v>
      </c>
      <c r="E291" s="3" t="s">
        <v>10</v>
      </c>
      <c r="F291" s="3" t="s">
        <v>5</v>
      </c>
      <c r="G291" s="3"/>
    </row>
    <row r="292" spans="1:7" x14ac:dyDescent="0.15">
      <c r="A292" s="2">
        <v>290</v>
      </c>
      <c r="B292" s="3" t="str">
        <f>"韦钰"</f>
        <v>韦钰</v>
      </c>
      <c r="C292" s="3" t="str">
        <f t="shared" si="48"/>
        <v xml:space="preserve">女        </v>
      </c>
      <c r="D292" s="3" t="str">
        <f>"南昌工学院会计学"</f>
        <v>南昌工学院会计学</v>
      </c>
      <c r="E292" s="3" t="str">
        <f>"本科"</f>
        <v>本科</v>
      </c>
      <c r="F292" s="3" t="s">
        <v>5</v>
      </c>
      <c r="G292" s="3"/>
    </row>
    <row r="293" spans="1:7" x14ac:dyDescent="0.15">
      <c r="A293" s="2">
        <v>291</v>
      </c>
      <c r="B293" s="3" t="str">
        <f>"张瑞"</f>
        <v>张瑞</v>
      </c>
      <c r="C293" s="3" t="str">
        <f t="shared" si="48"/>
        <v xml:space="preserve">女        </v>
      </c>
      <c r="D293" s="3" t="str">
        <f>"丽江师范高等专科学校语文教育"</f>
        <v>丽江师范高等专科学校语文教育</v>
      </c>
      <c r="E293" s="3" t="s">
        <v>10</v>
      </c>
      <c r="F293" s="3" t="s">
        <v>4</v>
      </c>
      <c r="G293" s="3"/>
    </row>
    <row r="294" spans="1:7" x14ac:dyDescent="0.15">
      <c r="A294" s="2">
        <v>292</v>
      </c>
      <c r="B294" s="3" t="str">
        <f>"陆晓琪"</f>
        <v>陆晓琪</v>
      </c>
      <c r="C294" s="3" t="str">
        <f t="shared" si="48"/>
        <v xml:space="preserve">女        </v>
      </c>
      <c r="D294" s="3" t="str">
        <f>"广西工业职业技术学院学前教育"</f>
        <v>广西工业职业技术学院学前教育</v>
      </c>
      <c r="E294" s="3" t="s">
        <v>10</v>
      </c>
      <c r="F294" s="3" t="s">
        <v>4</v>
      </c>
      <c r="G294" s="3"/>
    </row>
    <row r="295" spans="1:7" x14ac:dyDescent="0.15">
      <c r="A295" s="2">
        <v>293</v>
      </c>
      <c r="B295" s="3" t="str">
        <f>"刀祥"</f>
        <v>刀祥</v>
      </c>
      <c r="C295" s="3" t="str">
        <f>"男        "</f>
        <v xml:space="preserve">男        </v>
      </c>
      <c r="D295" s="3" t="str">
        <f>"昭通学院计算机教育"</f>
        <v>昭通学院计算机教育</v>
      </c>
      <c r="E295" s="3" t="s">
        <v>10</v>
      </c>
      <c r="F295" s="3" t="s">
        <v>9</v>
      </c>
      <c r="G295" s="3"/>
    </row>
    <row r="296" spans="1:7" x14ac:dyDescent="0.15">
      <c r="A296" s="2">
        <v>294</v>
      </c>
      <c r="B296" s="3" t="str">
        <f>"任已宇"</f>
        <v>任已宇</v>
      </c>
      <c r="C296" s="3" t="str">
        <f>"女        "</f>
        <v xml:space="preserve">女        </v>
      </c>
      <c r="D296" s="3" t="str">
        <f>"昭通学院思想政治教育"</f>
        <v>昭通学院思想政治教育</v>
      </c>
      <c r="E296" s="3" t="s">
        <v>10</v>
      </c>
      <c r="F296" s="3" t="s">
        <v>4</v>
      </c>
      <c r="G296" s="3"/>
    </row>
    <row r="297" spans="1:7" x14ac:dyDescent="0.15">
      <c r="A297" s="2">
        <v>295</v>
      </c>
      <c r="B297" s="3" t="str">
        <f>"黄爱芬"</f>
        <v>黄爱芬</v>
      </c>
      <c r="C297" s="3" t="str">
        <f>"女        "</f>
        <v xml:space="preserve">女        </v>
      </c>
      <c r="D297" s="3" t="str">
        <f>"广西科技师范学院学前教育"</f>
        <v>广西科技师范学院学前教育</v>
      </c>
      <c r="E297" s="3" t="s">
        <v>10</v>
      </c>
      <c r="F297" s="3" t="s">
        <v>5</v>
      </c>
      <c r="G297" s="3"/>
    </row>
    <row r="298" spans="1:7" x14ac:dyDescent="0.15">
      <c r="A298" s="2">
        <v>296</v>
      </c>
      <c r="B298" s="3" t="str">
        <f>"余江"</f>
        <v>余江</v>
      </c>
      <c r="C298" s="3" t="str">
        <f>"男        "</f>
        <v xml:space="preserve">男        </v>
      </c>
      <c r="D298" s="3" t="str">
        <f>"丽江师范高等专科学校语文教育"</f>
        <v>丽江师范高等专科学校语文教育</v>
      </c>
      <c r="E298" s="3" t="s">
        <v>10</v>
      </c>
      <c r="F298" s="3" t="s">
        <v>4</v>
      </c>
      <c r="G298" s="3"/>
    </row>
    <row r="299" spans="1:7" x14ac:dyDescent="0.15">
      <c r="A299" s="2">
        <v>297</v>
      </c>
      <c r="B299" s="3" t="str">
        <f>"韦晓钰"</f>
        <v>韦晓钰</v>
      </c>
      <c r="C299" s="3" t="str">
        <f>"女        "</f>
        <v xml:space="preserve">女        </v>
      </c>
      <c r="D299" s="3" t="str">
        <f>"广西现代职业技术学院学前教育"</f>
        <v>广西现代职业技术学院学前教育</v>
      </c>
      <c r="E299" s="3" t="s">
        <v>10</v>
      </c>
      <c r="F299" s="3" t="s">
        <v>4</v>
      </c>
      <c r="G299" s="3"/>
    </row>
    <row r="300" spans="1:7" x14ac:dyDescent="0.15">
      <c r="A300" s="2">
        <v>298</v>
      </c>
      <c r="B300" s="3" t="str">
        <f>"胡春艳"</f>
        <v>胡春艳</v>
      </c>
      <c r="C300" s="3" t="str">
        <f>"女        "</f>
        <v xml:space="preserve">女        </v>
      </c>
      <c r="D300" s="3" t="str">
        <f>"红河学院小学教育"</f>
        <v>红河学院小学教育</v>
      </c>
      <c r="E300" s="3" t="str">
        <f>"本科"</f>
        <v>本科</v>
      </c>
      <c r="F300" s="3" t="s">
        <v>4</v>
      </c>
      <c r="G300" s="3"/>
    </row>
    <row r="301" spans="1:7" x14ac:dyDescent="0.15">
      <c r="A301" s="2">
        <v>299</v>
      </c>
      <c r="B301" s="3" t="str">
        <f>"李玉路"</f>
        <v>李玉路</v>
      </c>
      <c r="C301" s="3" t="str">
        <f>"男        "</f>
        <v xml:space="preserve">男        </v>
      </c>
      <c r="D301" s="3" t="str">
        <f>"广西科技师范学院物理教育"</f>
        <v>广西科技师范学院物理教育</v>
      </c>
      <c r="E301" s="3" t="s">
        <v>10</v>
      </c>
      <c r="F301" s="3" t="s">
        <v>5</v>
      </c>
      <c r="G301" s="3"/>
    </row>
    <row r="302" spans="1:7" x14ac:dyDescent="0.15">
      <c r="A302" s="2">
        <v>300</v>
      </c>
      <c r="B302" s="3" t="str">
        <f>"李莹"</f>
        <v>李莹</v>
      </c>
      <c r="C302" s="3" t="str">
        <f>"女        "</f>
        <v xml:space="preserve">女        </v>
      </c>
      <c r="D302" s="3" t="str">
        <f>"普洱学院语文教育"</f>
        <v>普洱学院语文教育</v>
      </c>
      <c r="E302" s="3" t="s">
        <v>10</v>
      </c>
      <c r="F302" s="3" t="s">
        <v>4</v>
      </c>
      <c r="G302" s="3"/>
    </row>
    <row r="303" spans="1:7" x14ac:dyDescent="0.15">
      <c r="A303" s="2">
        <v>301</v>
      </c>
      <c r="B303" s="3" t="str">
        <f>"陆欢"</f>
        <v>陆欢</v>
      </c>
      <c r="C303" s="3" t="str">
        <f>"男        "</f>
        <v xml:space="preserve">男        </v>
      </c>
      <c r="D303" s="3" t="str">
        <f>"百色学院体育教育"</f>
        <v>百色学院体育教育</v>
      </c>
      <c r="E303" s="3" t="str">
        <f>"本科"</f>
        <v>本科</v>
      </c>
      <c r="F303" s="3" t="s">
        <v>7</v>
      </c>
      <c r="G303" s="3"/>
    </row>
    <row r="304" spans="1:7" x14ac:dyDescent="0.15">
      <c r="A304" s="2">
        <v>302</v>
      </c>
      <c r="B304" s="3" t="str">
        <f>"龙凤莲"</f>
        <v>龙凤莲</v>
      </c>
      <c r="C304" s="3" t="str">
        <f t="shared" ref="C304:C309" si="49">"女        "</f>
        <v xml:space="preserve">女        </v>
      </c>
      <c r="D304" s="3" t="str">
        <f>"广西科技师范学院语文教育"</f>
        <v>广西科技师范学院语文教育</v>
      </c>
      <c r="E304" s="3" t="s">
        <v>10</v>
      </c>
      <c r="F304" s="3" t="s">
        <v>4</v>
      </c>
      <c r="G304" s="3"/>
    </row>
    <row r="305" spans="1:7" x14ac:dyDescent="0.15">
      <c r="A305" s="2">
        <v>303</v>
      </c>
      <c r="B305" s="3" t="str">
        <f>"张雁"</f>
        <v>张雁</v>
      </c>
      <c r="C305" s="3" t="str">
        <f t="shared" si="49"/>
        <v xml:space="preserve">女        </v>
      </c>
      <c r="D305" s="3" t="str">
        <f>"普洱学院初等教育"</f>
        <v>普洱学院初等教育</v>
      </c>
      <c r="E305" s="3" t="s">
        <v>10</v>
      </c>
      <c r="F305" s="3" t="s">
        <v>5</v>
      </c>
      <c r="G305" s="3"/>
    </row>
    <row r="306" spans="1:7" x14ac:dyDescent="0.15">
      <c r="A306" s="2">
        <v>304</v>
      </c>
      <c r="B306" s="3" t="str">
        <f>"陈丽"</f>
        <v>陈丽</v>
      </c>
      <c r="C306" s="3" t="str">
        <f t="shared" si="49"/>
        <v xml:space="preserve">女        </v>
      </c>
      <c r="D306" s="3" t="str">
        <f>"昭通学院语文教育"</f>
        <v>昭通学院语文教育</v>
      </c>
      <c r="E306" s="3" t="s">
        <v>10</v>
      </c>
      <c r="F306" s="3" t="s">
        <v>4</v>
      </c>
      <c r="G306" s="3"/>
    </row>
    <row r="307" spans="1:7" x14ac:dyDescent="0.15">
      <c r="A307" s="2">
        <v>305</v>
      </c>
      <c r="B307" s="3" t="str">
        <f>"零利红"</f>
        <v>零利红</v>
      </c>
      <c r="C307" s="3" t="str">
        <f t="shared" si="49"/>
        <v xml:space="preserve">女        </v>
      </c>
      <c r="D307" s="3" t="str">
        <f>"百色学院小学教育"</f>
        <v>百色学院小学教育</v>
      </c>
      <c r="E307" s="3" t="s">
        <v>10</v>
      </c>
      <c r="F307" s="3" t="s">
        <v>4</v>
      </c>
      <c r="G307" s="3"/>
    </row>
    <row r="308" spans="1:7" x14ac:dyDescent="0.15">
      <c r="A308" s="2">
        <v>306</v>
      </c>
      <c r="B308" s="3" t="str">
        <f>"罗成丹"</f>
        <v>罗成丹</v>
      </c>
      <c r="C308" s="3" t="str">
        <f t="shared" si="49"/>
        <v xml:space="preserve">女        </v>
      </c>
      <c r="D308" s="3" t="str">
        <f>"德宏师范高等专科学校思想政治教育"</f>
        <v>德宏师范高等专科学校思想政治教育</v>
      </c>
      <c r="E308" s="3" t="s">
        <v>10</v>
      </c>
      <c r="F308" s="3" t="s">
        <v>4</v>
      </c>
      <c r="G308" s="3"/>
    </row>
    <row r="309" spans="1:7" x14ac:dyDescent="0.15">
      <c r="A309" s="2">
        <v>307</v>
      </c>
      <c r="B309" s="3" t="str">
        <f>"黄玲艳"</f>
        <v>黄玲艳</v>
      </c>
      <c r="C309" s="3" t="str">
        <f t="shared" si="49"/>
        <v xml:space="preserve">女        </v>
      </c>
      <c r="D309" s="3" t="str">
        <f>"广西师范学院师园学院国际经济与贸易"</f>
        <v>广西师范学院师园学院国际经济与贸易</v>
      </c>
      <c r="E309" s="3" t="str">
        <f>"本科"</f>
        <v>本科</v>
      </c>
      <c r="F309" s="3" t="s">
        <v>5</v>
      </c>
      <c r="G309" s="3"/>
    </row>
    <row r="310" spans="1:7" x14ac:dyDescent="0.15">
      <c r="A310" s="2">
        <v>308</v>
      </c>
      <c r="B310" s="3" t="str">
        <f>"蒙庆"</f>
        <v>蒙庆</v>
      </c>
      <c r="C310" s="3" t="str">
        <f>"男        "</f>
        <v xml:space="preserve">男        </v>
      </c>
      <c r="D310" s="3" t="str">
        <f>"百色学院小学教育"</f>
        <v>百色学院小学教育</v>
      </c>
      <c r="E310" s="3" t="s">
        <v>10</v>
      </c>
      <c r="F310" s="3" t="s">
        <v>5</v>
      </c>
      <c r="G310" s="3"/>
    </row>
    <row r="311" spans="1:7" x14ac:dyDescent="0.15">
      <c r="A311" s="2">
        <v>309</v>
      </c>
      <c r="B311" s="3" t="str">
        <f>"岩响"</f>
        <v>岩响</v>
      </c>
      <c r="C311" s="3" t="str">
        <f>"男        "</f>
        <v xml:space="preserve">男        </v>
      </c>
      <c r="D311" s="3" t="str">
        <f>"普洱学院体育教育"</f>
        <v>普洱学院体育教育</v>
      </c>
      <c r="E311" s="3" t="s">
        <v>10</v>
      </c>
      <c r="F311" s="3" t="s">
        <v>7</v>
      </c>
      <c r="G311" s="3"/>
    </row>
    <row r="312" spans="1:7" x14ac:dyDescent="0.15">
      <c r="A312" s="2">
        <v>310</v>
      </c>
      <c r="B312" s="3" t="str">
        <f>"李艳梅"</f>
        <v>李艳梅</v>
      </c>
      <c r="C312" s="3" t="str">
        <f>"女        "</f>
        <v xml:space="preserve">女        </v>
      </c>
      <c r="D312" s="3" t="str">
        <f>"广西民族大学社会学"</f>
        <v>广西民族大学社会学</v>
      </c>
      <c r="E312" s="3" t="str">
        <f t="shared" ref="E312:E315" si="50">"本科"</f>
        <v>本科</v>
      </c>
      <c r="F312" s="3" t="s">
        <v>4</v>
      </c>
      <c r="G312" s="3"/>
    </row>
    <row r="313" spans="1:7" x14ac:dyDescent="0.15">
      <c r="A313" s="2">
        <v>311</v>
      </c>
      <c r="B313" s="3" t="str">
        <f>"方娴"</f>
        <v>方娴</v>
      </c>
      <c r="C313" s="3" t="str">
        <f>"女        "</f>
        <v xml:space="preserve">女        </v>
      </c>
      <c r="D313" s="3" t="str">
        <f>"南宁学院会计学"</f>
        <v>南宁学院会计学</v>
      </c>
      <c r="E313" s="3" t="str">
        <f t="shared" si="50"/>
        <v>本科</v>
      </c>
      <c r="F313" s="3" t="s">
        <v>4</v>
      </c>
      <c r="G313" s="3"/>
    </row>
    <row r="314" spans="1:7" x14ac:dyDescent="0.15">
      <c r="A314" s="2">
        <v>312</v>
      </c>
      <c r="B314" s="3" t="str">
        <f>"闻秀玉"</f>
        <v>闻秀玉</v>
      </c>
      <c r="C314" s="3" t="str">
        <f>"女        "</f>
        <v xml:space="preserve">女        </v>
      </c>
      <c r="D314" s="3" t="str">
        <f>"广西民族大学汉语言文学"</f>
        <v>广西民族大学汉语言文学</v>
      </c>
      <c r="E314" s="3" t="str">
        <f t="shared" si="50"/>
        <v>本科</v>
      </c>
      <c r="F314" s="3" t="s">
        <v>4</v>
      </c>
      <c r="G314" s="3"/>
    </row>
    <row r="315" spans="1:7" x14ac:dyDescent="0.15">
      <c r="A315" s="2">
        <v>313</v>
      </c>
      <c r="B315" s="3" t="str">
        <f>"陆瑞"</f>
        <v>陆瑞</v>
      </c>
      <c r="C315" s="3" t="str">
        <f>"女        "</f>
        <v xml:space="preserve">女        </v>
      </c>
      <c r="D315" s="3" t="str">
        <f>"云南民族大学法学"</f>
        <v>云南民族大学法学</v>
      </c>
      <c r="E315" s="3" t="str">
        <f t="shared" si="50"/>
        <v>本科</v>
      </c>
      <c r="F315" s="3" t="s">
        <v>4</v>
      </c>
      <c r="G315" s="3"/>
    </row>
    <row r="316" spans="1:7" x14ac:dyDescent="0.15">
      <c r="A316" s="2">
        <v>314</v>
      </c>
      <c r="B316" s="3" t="str">
        <f>"冼光琴"</f>
        <v>冼光琴</v>
      </c>
      <c r="C316" s="3" t="str">
        <f>"女        "</f>
        <v xml:space="preserve">女        </v>
      </c>
      <c r="D316" s="3" t="str">
        <f>"文山学院初等教育文科"</f>
        <v>文山学院初等教育文科</v>
      </c>
      <c r="E316" s="3" t="s">
        <v>10</v>
      </c>
      <c r="F316" s="3" t="s">
        <v>4</v>
      </c>
      <c r="G316" s="3"/>
    </row>
    <row r="317" spans="1:7" x14ac:dyDescent="0.15">
      <c r="A317" s="2">
        <v>315</v>
      </c>
      <c r="B317" s="3" t="str">
        <f>"杨荣礼"</f>
        <v>杨荣礼</v>
      </c>
      <c r="C317" s="3" t="str">
        <f>"男        "</f>
        <v xml:space="preserve">男        </v>
      </c>
      <c r="D317" s="3" t="str">
        <f>"湖北大学知行学院计算机科学与技术"</f>
        <v>湖北大学知行学院计算机科学与技术</v>
      </c>
      <c r="E317" s="3" t="str">
        <f>"本科"</f>
        <v>本科</v>
      </c>
      <c r="F317" s="3" t="s">
        <v>5</v>
      </c>
      <c r="G317" s="3"/>
    </row>
    <row r="318" spans="1:7" x14ac:dyDescent="0.15">
      <c r="A318" s="2">
        <v>316</v>
      </c>
      <c r="B318" s="3" t="str">
        <f>"黄江"</f>
        <v>黄江</v>
      </c>
      <c r="C318" s="3" t="str">
        <f>"女        "</f>
        <v xml:space="preserve">女        </v>
      </c>
      <c r="D318" s="3" t="str">
        <f>"文山学院初等教育"</f>
        <v>文山学院初等教育</v>
      </c>
      <c r="E318" s="3" t="s">
        <v>10</v>
      </c>
      <c r="F318" s="3" t="s">
        <v>4</v>
      </c>
      <c r="G318" s="3"/>
    </row>
    <row r="319" spans="1:7" x14ac:dyDescent="0.15">
      <c r="A319" s="2">
        <v>317</v>
      </c>
      <c r="B319" s="3" t="str">
        <f>"杨金凤"</f>
        <v>杨金凤</v>
      </c>
      <c r="C319" s="3" t="str">
        <f>"女        "</f>
        <v xml:space="preserve">女        </v>
      </c>
      <c r="D319" s="3" t="str">
        <f>"百色学院英语教育"</f>
        <v>百色学院英语教育</v>
      </c>
      <c r="E319" s="3" t="s">
        <v>10</v>
      </c>
      <c r="F319" s="3" t="s">
        <v>6</v>
      </c>
      <c r="G319" s="3"/>
    </row>
    <row r="320" spans="1:7" x14ac:dyDescent="0.15">
      <c r="A320" s="2">
        <v>318</v>
      </c>
      <c r="B320" s="3" t="str">
        <f>"严增杰"</f>
        <v>严增杰</v>
      </c>
      <c r="C320" s="3" t="str">
        <f>"男        "</f>
        <v xml:space="preserve">男        </v>
      </c>
      <c r="D320" s="3" t="str">
        <f>"德宏师范高等专科学校历史教育"</f>
        <v>德宏师范高等专科学校历史教育</v>
      </c>
      <c r="E320" s="3" t="s">
        <v>10</v>
      </c>
      <c r="F320" s="3" t="s">
        <v>4</v>
      </c>
      <c r="G320" s="3"/>
    </row>
    <row r="321" spans="1:7" x14ac:dyDescent="0.15">
      <c r="A321" s="2">
        <v>319</v>
      </c>
      <c r="B321" s="3" t="str">
        <f>"杨悦银"</f>
        <v>杨悦银</v>
      </c>
      <c r="C321" s="3" t="str">
        <f>"女        "</f>
        <v xml:space="preserve">女        </v>
      </c>
      <c r="D321" s="3" t="str">
        <f>"云南大学旅游文化学院汉语言文学"</f>
        <v>云南大学旅游文化学院汉语言文学</v>
      </c>
      <c r="E321" s="3" t="str">
        <f>"本科"</f>
        <v>本科</v>
      </c>
      <c r="F321" s="3" t="s">
        <v>4</v>
      </c>
      <c r="G321" s="3"/>
    </row>
    <row r="322" spans="1:7" x14ac:dyDescent="0.15">
      <c r="A322" s="2">
        <v>320</v>
      </c>
      <c r="B322" s="3" t="str">
        <f>"农美合"</f>
        <v>农美合</v>
      </c>
      <c r="C322" s="3" t="str">
        <f>"女        "</f>
        <v xml:space="preserve">女        </v>
      </c>
      <c r="D322" s="3" t="str">
        <f>"广西教育学院初等教育"</f>
        <v>广西教育学院初等教育</v>
      </c>
      <c r="E322" s="3" t="s">
        <v>10</v>
      </c>
      <c r="F322" s="3" t="s">
        <v>4</v>
      </c>
      <c r="G322" s="3"/>
    </row>
    <row r="323" spans="1:7" x14ac:dyDescent="0.15">
      <c r="A323" s="2">
        <v>321</v>
      </c>
      <c r="B323" s="3" t="str">
        <f>"陆国记"</f>
        <v>陆国记</v>
      </c>
      <c r="C323" s="3" t="str">
        <f>"男        "</f>
        <v xml:space="preserve">男        </v>
      </c>
      <c r="D323" s="3" t="str">
        <f>"广西民族师范学院汉语言文学"</f>
        <v>广西民族师范学院汉语言文学</v>
      </c>
      <c r="E323" s="3" t="str">
        <f t="shared" ref="E323:E328" si="51">"本科"</f>
        <v>本科</v>
      </c>
      <c r="F323" s="3" t="s">
        <v>4</v>
      </c>
      <c r="G323" s="3"/>
    </row>
    <row r="324" spans="1:7" x14ac:dyDescent="0.15">
      <c r="A324" s="2">
        <v>322</v>
      </c>
      <c r="B324" s="3" t="str">
        <f>"刘夏依"</f>
        <v>刘夏依</v>
      </c>
      <c r="C324" s="3" t="str">
        <f>"女        "</f>
        <v xml:space="preserve">女        </v>
      </c>
      <c r="D324" s="3" t="str">
        <f>"广西师范学院化学"</f>
        <v>广西师范学院化学</v>
      </c>
      <c r="E324" s="3" t="str">
        <f t="shared" si="51"/>
        <v>本科</v>
      </c>
      <c r="F324" s="3" t="s">
        <v>5</v>
      </c>
      <c r="G324" s="3"/>
    </row>
    <row r="325" spans="1:7" x14ac:dyDescent="0.15">
      <c r="A325" s="2">
        <v>323</v>
      </c>
      <c r="B325" s="3" t="str">
        <f>"李大定"</f>
        <v>李大定</v>
      </c>
      <c r="C325" s="3" t="str">
        <f>"男        "</f>
        <v xml:space="preserve">男        </v>
      </c>
      <c r="D325" s="3" t="str">
        <f>"百色学院体育教育"</f>
        <v>百色学院体育教育</v>
      </c>
      <c r="E325" s="3" t="str">
        <f t="shared" si="51"/>
        <v>本科</v>
      </c>
      <c r="F325" s="3" t="s">
        <v>7</v>
      </c>
      <c r="G325" s="3"/>
    </row>
    <row r="326" spans="1:7" x14ac:dyDescent="0.15">
      <c r="A326" s="2">
        <v>324</v>
      </c>
      <c r="B326" s="3" t="str">
        <f>"陆世通"</f>
        <v>陆世通</v>
      </c>
      <c r="C326" s="3" t="str">
        <f>"男        "</f>
        <v xml:space="preserve">男        </v>
      </c>
      <c r="D326" s="3" t="str">
        <f>"贺州学院公共事业管理"</f>
        <v>贺州学院公共事业管理</v>
      </c>
      <c r="E326" s="3" t="str">
        <f t="shared" si="51"/>
        <v>本科</v>
      </c>
      <c r="F326" s="3" t="s">
        <v>4</v>
      </c>
      <c r="G326" s="3"/>
    </row>
    <row r="327" spans="1:7" x14ac:dyDescent="0.15">
      <c r="A327" s="2">
        <v>325</v>
      </c>
      <c r="B327" s="3" t="str">
        <f>"黄照武"</f>
        <v>黄照武</v>
      </c>
      <c r="C327" s="3" t="str">
        <f>"男        "</f>
        <v xml:space="preserve">男        </v>
      </c>
      <c r="D327" s="3" t="str">
        <f>"钦州学院体育教育"</f>
        <v>钦州学院体育教育</v>
      </c>
      <c r="E327" s="3" t="str">
        <f t="shared" si="51"/>
        <v>本科</v>
      </c>
      <c r="F327" s="3" t="s">
        <v>7</v>
      </c>
      <c r="G327" s="3"/>
    </row>
    <row r="328" spans="1:7" x14ac:dyDescent="0.15">
      <c r="A328" s="2">
        <v>326</v>
      </c>
      <c r="B328" s="3" t="str">
        <f>"翟礼旭"</f>
        <v>翟礼旭</v>
      </c>
      <c r="C328" s="3" t="str">
        <f>"男        "</f>
        <v xml:space="preserve">男        </v>
      </c>
      <c r="D328" s="3" t="str">
        <f>"广西师范学院师园学院小学教育"</f>
        <v>广西师范学院师园学院小学教育</v>
      </c>
      <c r="E328" s="3" t="str">
        <f t="shared" si="51"/>
        <v>本科</v>
      </c>
      <c r="F328" s="3" t="s">
        <v>5</v>
      </c>
      <c r="G328" s="3"/>
    </row>
    <row r="329" spans="1:7" x14ac:dyDescent="0.15">
      <c r="A329" s="2">
        <v>327</v>
      </c>
      <c r="B329" s="3" t="str">
        <f>"黄桂莲"</f>
        <v>黄桂莲</v>
      </c>
      <c r="C329" s="3" t="str">
        <f>"女        "</f>
        <v xml:space="preserve">女        </v>
      </c>
      <c r="D329" s="3" t="str">
        <f>"广西幼儿师范高等专科学校音乐教育"</f>
        <v>广西幼儿师范高等专科学校音乐教育</v>
      </c>
      <c r="E329" s="3" t="s">
        <v>10</v>
      </c>
      <c r="F329" s="3" t="s">
        <v>8</v>
      </c>
      <c r="G329" s="3"/>
    </row>
    <row r="330" spans="1:7" x14ac:dyDescent="0.15">
      <c r="A330" s="2">
        <v>328</v>
      </c>
      <c r="B330" s="3" t="str">
        <f>"沈兴"</f>
        <v>沈兴</v>
      </c>
      <c r="C330" s="3" t="str">
        <f>"女        "</f>
        <v xml:space="preserve">女        </v>
      </c>
      <c r="D330" s="3" t="str">
        <f>"丽江师范高等专科学校语文教育"</f>
        <v>丽江师范高等专科学校语文教育</v>
      </c>
      <c r="E330" s="3" t="s">
        <v>10</v>
      </c>
      <c r="F330" s="3" t="s">
        <v>4</v>
      </c>
      <c r="G330" s="3"/>
    </row>
    <row r="331" spans="1:7" x14ac:dyDescent="0.15">
      <c r="A331" s="2">
        <v>329</v>
      </c>
      <c r="B331" s="3" t="str">
        <f>"胡芊芊"</f>
        <v>胡芊芊</v>
      </c>
      <c r="C331" s="3" t="str">
        <f>"女        "</f>
        <v xml:space="preserve">女        </v>
      </c>
      <c r="D331" s="3" t="str">
        <f>"西双版纳职业技术学院初等教育"</f>
        <v>西双版纳职业技术学院初等教育</v>
      </c>
      <c r="E331" s="3" t="s">
        <v>10</v>
      </c>
      <c r="F331" s="3" t="s">
        <v>5</v>
      </c>
      <c r="G331" s="3"/>
    </row>
    <row r="332" spans="1:7" x14ac:dyDescent="0.15">
      <c r="A332" s="2">
        <v>330</v>
      </c>
      <c r="B332" s="3" t="str">
        <f>"葛贵兴"</f>
        <v>葛贵兴</v>
      </c>
      <c r="C332" s="3" t="str">
        <f>"男        "</f>
        <v xml:space="preserve">男        </v>
      </c>
      <c r="D332" s="3" t="str">
        <f>"百色学院综合文科教育"</f>
        <v>百色学院综合文科教育</v>
      </c>
      <c r="E332" s="3" t="s">
        <v>10</v>
      </c>
      <c r="F332" s="3" t="s">
        <v>4</v>
      </c>
      <c r="G332" s="3"/>
    </row>
    <row r="333" spans="1:7" x14ac:dyDescent="0.15">
      <c r="A333" s="2">
        <v>331</v>
      </c>
      <c r="B333" s="3" t="str">
        <f>"杨艳芳"</f>
        <v>杨艳芳</v>
      </c>
      <c r="C333" s="3" t="str">
        <f t="shared" ref="C333:C344" si="52">"女        "</f>
        <v xml:space="preserve">女        </v>
      </c>
      <c r="D333" s="3" t="str">
        <f>"西南林业大学地理信息科学"</f>
        <v>西南林业大学地理信息科学</v>
      </c>
      <c r="E333" s="3" t="str">
        <f>"本科"</f>
        <v>本科</v>
      </c>
      <c r="F333" s="3" t="s">
        <v>5</v>
      </c>
      <c r="G333" s="3"/>
    </row>
    <row r="334" spans="1:7" x14ac:dyDescent="0.15">
      <c r="A334" s="2">
        <v>332</v>
      </c>
      <c r="B334" s="3" t="str">
        <f>"郭红吉"</f>
        <v>郭红吉</v>
      </c>
      <c r="C334" s="3" t="str">
        <f t="shared" si="52"/>
        <v xml:space="preserve">女        </v>
      </c>
      <c r="D334" s="3" t="str">
        <f>"普洱学院语文教育"</f>
        <v>普洱学院语文教育</v>
      </c>
      <c r="E334" s="3" t="s">
        <v>10</v>
      </c>
      <c r="F334" s="3" t="s">
        <v>4</v>
      </c>
      <c r="G334" s="3"/>
    </row>
    <row r="335" spans="1:7" x14ac:dyDescent="0.15">
      <c r="A335" s="2">
        <v>333</v>
      </c>
      <c r="B335" s="3" t="str">
        <f>"李梅"</f>
        <v>李梅</v>
      </c>
      <c r="C335" s="3" t="str">
        <f t="shared" si="52"/>
        <v xml:space="preserve">女        </v>
      </c>
      <c r="D335" s="3" t="str">
        <f>"广西师范学院旅游管理职师"</f>
        <v>广西师范学院旅游管理职师</v>
      </c>
      <c r="E335" s="3" t="str">
        <f>"本科"</f>
        <v>本科</v>
      </c>
      <c r="F335" s="3" t="s">
        <v>4</v>
      </c>
      <c r="G335" s="3"/>
    </row>
    <row r="336" spans="1:7" x14ac:dyDescent="0.15">
      <c r="A336" s="2">
        <v>334</v>
      </c>
      <c r="B336" s="3" t="str">
        <f>"赵小燕"</f>
        <v>赵小燕</v>
      </c>
      <c r="C336" s="3" t="str">
        <f t="shared" si="52"/>
        <v xml:space="preserve">女        </v>
      </c>
      <c r="D336" s="3" t="str">
        <f>"广西教育学院初等教育"</f>
        <v>广西教育学院初等教育</v>
      </c>
      <c r="E336" s="3" t="s">
        <v>10</v>
      </c>
      <c r="F336" s="3" t="s">
        <v>4</v>
      </c>
      <c r="G336" s="3"/>
    </row>
    <row r="337" spans="1:7" x14ac:dyDescent="0.15">
      <c r="A337" s="2">
        <v>335</v>
      </c>
      <c r="B337" s="3" t="str">
        <f>"余春霞"</f>
        <v>余春霞</v>
      </c>
      <c r="C337" s="3" t="str">
        <f t="shared" si="52"/>
        <v xml:space="preserve">女        </v>
      </c>
      <c r="D337" s="3" t="str">
        <f>"广西民族师范学院汉语言文学"</f>
        <v>广西民族师范学院汉语言文学</v>
      </c>
      <c r="E337" s="3" t="str">
        <f>"本科"</f>
        <v>本科</v>
      </c>
      <c r="F337" s="3" t="s">
        <v>4</v>
      </c>
      <c r="G337" s="3"/>
    </row>
    <row r="338" spans="1:7" x14ac:dyDescent="0.15">
      <c r="A338" s="2">
        <v>336</v>
      </c>
      <c r="B338" s="3" t="str">
        <f>"顾瑞芳"</f>
        <v>顾瑞芳</v>
      </c>
      <c r="C338" s="3" t="str">
        <f t="shared" si="52"/>
        <v xml:space="preserve">女        </v>
      </c>
      <c r="D338" s="3" t="str">
        <f>"滇西科技师范学院语文教育"</f>
        <v>滇西科技师范学院语文教育</v>
      </c>
      <c r="E338" s="3" t="s">
        <v>10</v>
      </c>
      <c r="F338" s="3" t="s">
        <v>4</v>
      </c>
      <c r="G338" s="3"/>
    </row>
    <row r="339" spans="1:7" x14ac:dyDescent="0.15">
      <c r="A339" s="2">
        <v>337</v>
      </c>
      <c r="B339" s="3" t="str">
        <f>"敖艳"</f>
        <v>敖艳</v>
      </c>
      <c r="C339" s="3" t="str">
        <f t="shared" si="52"/>
        <v xml:space="preserve">女        </v>
      </c>
      <c r="D339" s="3" t="str">
        <f>"丽江师范高等专科学校计算机教育"</f>
        <v>丽江师范高等专科学校计算机教育</v>
      </c>
      <c r="E339" s="3" t="s">
        <v>10</v>
      </c>
      <c r="F339" s="3" t="s">
        <v>9</v>
      </c>
      <c r="G339" s="3"/>
    </row>
    <row r="340" spans="1:7" x14ac:dyDescent="0.15">
      <c r="A340" s="2">
        <v>338</v>
      </c>
      <c r="B340" s="3" t="str">
        <f>"石国换"</f>
        <v>石国换</v>
      </c>
      <c r="C340" s="3" t="str">
        <f t="shared" si="52"/>
        <v xml:space="preserve">女        </v>
      </c>
      <c r="D340" s="3" t="str">
        <f>"德宏师范高等专科学校初等教育"</f>
        <v>德宏师范高等专科学校初等教育</v>
      </c>
      <c r="E340" s="3" t="s">
        <v>10</v>
      </c>
      <c r="F340" s="3" t="s">
        <v>4</v>
      </c>
      <c r="G340" s="3"/>
    </row>
    <row r="341" spans="1:7" x14ac:dyDescent="0.15">
      <c r="A341" s="2">
        <v>339</v>
      </c>
      <c r="B341" s="3" t="str">
        <f>"代曾娇"</f>
        <v>代曾娇</v>
      </c>
      <c r="C341" s="3" t="str">
        <f t="shared" si="52"/>
        <v xml:space="preserve">女        </v>
      </c>
      <c r="D341" s="3" t="str">
        <f>"德宏师范高等专科学校思想政治教育"</f>
        <v>德宏师范高等专科学校思想政治教育</v>
      </c>
      <c r="E341" s="3" t="s">
        <v>10</v>
      </c>
      <c r="F341" s="3" t="s">
        <v>4</v>
      </c>
      <c r="G341" s="3"/>
    </row>
    <row r="342" spans="1:7" x14ac:dyDescent="0.15">
      <c r="A342" s="2">
        <v>340</v>
      </c>
      <c r="B342" s="3" t="str">
        <f>"刘发玉"</f>
        <v>刘发玉</v>
      </c>
      <c r="C342" s="3" t="str">
        <f t="shared" si="52"/>
        <v xml:space="preserve">女        </v>
      </c>
      <c r="D342" s="3" t="str">
        <f>"文山学院初等教育"</f>
        <v>文山学院初等教育</v>
      </c>
      <c r="E342" s="3" t="s">
        <v>10</v>
      </c>
      <c r="F342" s="3" t="s">
        <v>4</v>
      </c>
      <c r="G342" s="3"/>
    </row>
    <row r="343" spans="1:7" x14ac:dyDescent="0.15">
      <c r="A343" s="2">
        <v>341</v>
      </c>
      <c r="B343" s="3" t="str">
        <f>"杨朝慧"</f>
        <v>杨朝慧</v>
      </c>
      <c r="C343" s="3" t="str">
        <f t="shared" si="52"/>
        <v xml:space="preserve">女        </v>
      </c>
      <c r="D343" s="3" t="str">
        <f>"云南师范大学商学院学前教育"</f>
        <v>云南师范大学商学院学前教育</v>
      </c>
      <c r="E343" s="3" t="str">
        <f>"本科"</f>
        <v>本科</v>
      </c>
      <c r="F343" s="3" t="s">
        <v>4</v>
      </c>
      <c r="G343" s="3"/>
    </row>
    <row r="344" spans="1:7" x14ac:dyDescent="0.15">
      <c r="A344" s="2">
        <v>342</v>
      </c>
      <c r="B344" s="3" t="str">
        <f>"张洪丽"</f>
        <v>张洪丽</v>
      </c>
      <c r="C344" s="3" t="str">
        <f t="shared" si="52"/>
        <v xml:space="preserve">女        </v>
      </c>
      <c r="D344" s="3" t="str">
        <f>"思茅师范高等专科学校英语"</f>
        <v>思茅师范高等专科学校英语</v>
      </c>
      <c r="E344" s="3" t="s">
        <v>10</v>
      </c>
      <c r="F344" s="3" t="s">
        <v>6</v>
      </c>
      <c r="G344" s="3"/>
    </row>
    <row r="345" spans="1:7" x14ac:dyDescent="0.15">
      <c r="A345" s="2">
        <v>343</v>
      </c>
      <c r="B345" s="3" t="str">
        <f>"邓小弟"</f>
        <v>邓小弟</v>
      </c>
      <c r="C345" s="3" t="str">
        <f>"男        "</f>
        <v xml:space="preserve">男        </v>
      </c>
      <c r="D345" s="3" t="str">
        <f>"百色学院综合文科教育"</f>
        <v>百色学院综合文科教育</v>
      </c>
      <c r="E345" s="3" t="s">
        <v>10</v>
      </c>
      <c r="F345" s="3" t="s">
        <v>4</v>
      </c>
      <c r="G345" s="3"/>
    </row>
    <row r="346" spans="1:7" x14ac:dyDescent="0.15">
      <c r="A346" s="2">
        <v>344</v>
      </c>
      <c r="B346" s="3" t="str">
        <f>"梁美娜"</f>
        <v>梁美娜</v>
      </c>
      <c r="C346" s="3" t="str">
        <f>"女        "</f>
        <v xml:space="preserve">女        </v>
      </c>
      <c r="D346" s="3" t="str">
        <f>"广西科技师范学院语文教育"</f>
        <v>广西科技师范学院语文教育</v>
      </c>
      <c r="E346" s="3" t="s">
        <v>10</v>
      </c>
      <c r="F346" s="3" t="s">
        <v>4</v>
      </c>
      <c r="G346" s="3"/>
    </row>
    <row r="347" spans="1:7" x14ac:dyDescent="0.15">
      <c r="A347" s="2">
        <v>345</v>
      </c>
      <c r="B347" s="3" t="str">
        <f>"谭珍"</f>
        <v>谭珍</v>
      </c>
      <c r="C347" s="3" t="str">
        <f>"女        "</f>
        <v xml:space="preserve">女        </v>
      </c>
      <c r="D347" s="3" t="str">
        <f>"普洱学院思想政治教育"</f>
        <v>普洱学院思想政治教育</v>
      </c>
      <c r="E347" s="3" t="s">
        <v>10</v>
      </c>
      <c r="F347" s="3" t="s">
        <v>5</v>
      </c>
      <c r="G347" s="3"/>
    </row>
    <row r="348" spans="1:7" x14ac:dyDescent="0.15">
      <c r="A348" s="2">
        <v>346</v>
      </c>
      <c r="B348" s="3" t="str">
        <f>"李自春"</f>
        <v>李自春</v>
      </c>
      <c r="C348" s="3" t="str">
        <f>"女        "</f>
        <v xml:space="preserve">女        </v>
      </c>
      <c r="D348" s="3" t="str">
        <f>"百色学院小学教育"</f>
        <v>百色学院小学教育</v>
      </c>
      <c r="E348" s="3" t="s">
        <v>10</v>
      </c>
      <c r="F348" s="3" t="s">
        <v>5</v>
      </c>
      <c r="G348" s="3"/>
    </row>
    <row r="349" spans="1:7" x14ac:dyDescent="0.15">
      <c r="A349" s="2">
        <v>347</v>
      </c>
      <c r="B349" s="3" t="str">
        <f>"黄金玲"</f>
        <v>黄金玲</v>
      </c>
      <c r="C349" s="3" t="str">
        <f>"女        "</f>
        <v xml:space="preserve">女        </v>
      </c>
      <c r="D349" s="3" t="str">
        <f>"河池学院思想政治教育"</f>
        <v>河池学院思想政治教育</v>
      </c>
      <c r="E349" s="3" t="str">
        <f t="shared" ref="E349:E350" si="53">"本科"</f>
        <v>本科</v>
      </c>
      <c r="F349" s="3" t="s">
        <v>5</v>
      </c>
      <c r="G349" s="3"/>
    </row>
    <row r="350" spans="1:7" x14ac:dyDescent="0.15">
      <c r="A350" s="2">
        <v>348</v>
      </c>
      <c r="B350" s="3" t="str">
        <f>"覃东威"</f>
        <v>覃东威</v>
      </c>
      <c r="C350" s="3" t="str">
        <f>"男        "</f>
        <v xml:space="preserve">男        </v>
      </c>
      <c r="D350" s="3" t="str">
        <f>"兰州理工大学工业设计"</f>
        <v>兰州理工大学工业设计</v>
      </c>
      <c r="E350" s="3" t="str">
        <f t="shared" si="53"/>
        <v>本科</v>
      </c>
      <c r="F350" s="3" t="s">
        <v>5</v>
      </c>
      <c r="G350" s="3"/>
    </row>
    <row r="351" spans="1:7" x14ac:dyDescent="0.15">
      <c r="A351" s="2">
        <v>349</v>
      </c>
      <c r="B351" s="3" t="str">
        <f>"蒙宣任"</f>
        <v>蒙宣任</v>
      </c>
      <c r="C351" s="3" t="str">
        <f t="shared" ref="C351:C358" si="54">"女        "</f>
        <v xml:space="preserve">女        </v>
      </c>
      <c r="D351" s="3" t="str">
        <f>"广西教育学院汉语"</f>
        <v>广西教育学院汉语</v>
      </c>
      <c r="E351" s="3" t="s">
        <v>10</v>
      </c>
      <c r="F351" s="3" t="s">
        <v>4</v>
      </c>
      <c r="G351" s="3"/>
    </row>
    <row r="352" spans="1:7" x14ac:dyDescent="0.15">
      <c r="A352" s="2">
        <v>350</v>
      </c>
      <c r="B352" s="3" t="str">
        <f>"高琪"</f>
        <v>高琪</v>
      </c>
      <c r="C352" s="3" t="str">
        <f t="shared" si="54"/>
        <v xml:space="preserve">女        </v>
      </c>
      <c r="D352" s="3" t="str">
        <f>"郑州航空工业管理学院物联网工程"</f>
        <v>郑州航空工业管理学院物联网工程</v>
      </c>
      <c r="E352" s="3" t="str">
        <f>"本科"</f>
        <v>本科</v>
      </c>
      <c r="F352" s="3" t="s">
        <v>5</v>
      </c>
      <c r="G352" s="3"/>
    </row>
    <row r="353" spans="1:7" x14ac:dyDescent="0.15">
      <c r="A353" s="2">
        <v>351</v>
      </c>
      <c r="B353" s="3" t="str">
        <f>"黄金华"</f>
        <v>黄金华</v>
      </c>
      <c r="C353" s="3" t="str">
        <f t="shared" si="54"/>
        <v xml:space="preserve">女        </v>
      </c>
      <c r="D353" s="3" t="str">
        <f>"南宁地区教育学院英语教育"</f>
        <v>南宁地区教育学院英语教育</v>
      </c>
      <c r="E353" s="3" t="s">
        <v>10</v>
      </c>
      <c r="F353" s="3" t="s">
        <v>6</v>
      </c>
      <c r="G353" s="3"/>
    </row>
    <row r="354" spans="1:7" x14ac:dyDescent="0.15">
      <c r="A354" s="2">
        <v>352</v>
      </c>
      <c r="B354" s="3" t="str">
        <f>"胡献江"</f>
        <v>胡献江</v>
      </c>
      <c r="C354" s="3" t="str">
        <f t="shared" si="54"/>
        <v xml:space="preserve">女        </v>
      </c>
      <c r="D354" s="3" t="str">
        <f>"昭通学院思想政治教育"</f>
        <v>昭通学院思想政治教育</v>
      </c>
      <c r="E354" s="3" t="s">
        <v>10</v>
      </c>
      <c r="F354" s="3" t="s">
        <v>4</v>
      </c>
      <c r="G354" s="3"/>
    </row>
    <row r="355" spans="1:7" x14ac:dyDescent="0.15">
      <c r="A355" s="2">
        <v>353</v>
      </c>
      <c r="B355" s="3" t="str">
        <f>"申恩艳"</f>
        <v>申恩艳</v>
      </c>
      <c r="C355" s="3" t="str">
        <f t="shared" si="54"/>
        <v xml:space="preserve">女        </v>
      </c>
      <c r="D355" s="3" t="str">
        <f>"云南民族大学计算机科学与技术"</f>
        <v>云南民族大学计算机科学与技术</v>
      </c>
      <c r="E355" s="3" t="str">
        <f>"本科"</f>
        <v>本科</v>
      </c>
      <c r="F355" s="3" t="s">
        <v>9</v>
      </c>
      <c r="G355" s="3"/>
    </row>
    <row r="356" spans="1:7" x14ac:dyDescent="0.15">
      <c r="A356" s="2">
        <v>354</v>
      </c>
      <c r="B356" s="3" t="str">
        <f>"言凤进"</f>
        <v>言凤进</v>
      </c>
      <c r="C356" s="3" t="str">
        <f t="shared" si="54"/>
        <v xml:space="preserve">女        </v>
      </c>
      <c r="D356" s="3" t="str">
        <f>"广西幼儿师范高等专科学校音乐教育"</f>
        <v>广西幼儿师范高等专科学校音乐教育</v>
      </c>
      <c r="E356" s="3" t="s">
        <v>10</v>
      </c>
      <c r="F356" s="3" t="s">
        <v>8</v>
      </c>
      <c r="G356" s="3"/>
    </row>
    <row r="357" spans="1:7" x14ac:dyDescent="0.15">
      <c r="A357" s="2">
        <v>355</v>
      </c>
      <c r="B357" s="3" t="str">
        <f>"李怡瑶"</f>
        <v>李怡瑶</v>
      </c>
      <c r="C357" s="3" t="str">
        <f t="shared" si="54"/>
        <v xml:space="preserve">女        </v>
      </c>
      <c r="D357" s="3" t="str">
        <f>"临沧师范高等专科学校初等教育理科方向"</f>
        <v>临沧师范高等专科学校初等教育理科方向</v>
      </c>
      <c r="E357" s="3" t="s">
        <v>10</v>
      </c>
      <c r="F357" s="3" t="s">
        <v>5</v>
      </c>
      <c r="G357" s="3"/>
    </row>
    <row r="358" spans="1:7" x14ac:dyDescent="0.15">
      <c r="A358" s="2">
        <v>356</v>
      </c>
      <c r="B358" s="3" t="str">
        <f>"余柳"</f>
        <v>余柳</v>
      </c>
      <c r="C358" s="3" t="str">
        <f t="shared" si="54"/>
        <v xml:space="preserve">女        </v>
      </c>
      <c r="D358" s="3" t="str">
        <f>"德宏师范高等专科学校初等教育理科"</f>
        <v>德宏师范高等专科学校初等教育理科</v>
      </c>
      <c r="E358" s="3" t="s">
        <v>10</v>
      </c>
      <c r="F358" s="3" t="s">
        <v>5</v>
      </c>
      <c r="G358" s="3"/>
    </row>
    <row r="359" spans="1:7" x14ac:dyDescent="0.15">
      <c r="A359" s="2">
        <v>357</v>
      </c>
      <c r="B359" s="3" t="str">
        <f>"陆思源"</f>
        <v>陆思源</v>
      </c>
      <c r="C359" s="3" t="str">
        <f>"男        "</f>
        <v xml:space="preserve">男        </v>
      </c>
      <c r="D359" s="3" t="str">
        <f>"广西师范学院师园学院汉语言文学"</f>
        <v>广西师范学院师园学院汉语言文学</v>
      </c>
      <c r="E359" s="3" t="str">
        <f t="shared" ref="E359:E361" si="55">"本科"</f>
        <v>本科</v>
      </c>
      <c r="F359" s="3" t="s">
        <v>4</v>
      </c>
      <c r="G359" s="3"/>
    </row>
    <row r="360" spans="1:7" x14ac:dyDescent="0.15">
      <c r="A360" s="2">
        <v>358</v>
      </c>
      <c r="B360" s="3" t="str">
        <f>"黄若琳"</f>
        <v>黄若琳</v>
      </c>
      <c r="C360" s="3" t="str">
        <f>"女        "</f>
        <v xml:space="preserve">女        </v>
      </c>
      <c r="D360" s="3" t="str">
        <f>"玉林师范学院汉语言文学现代文秘方向"</f>
        <v>玉林师范学院汉语言文学现代文秘方向</v>
      </c>
      <c r="E360" s="3" t="str">
        <f t="shared" si="55"/>
        <v>本科</v>
      </c>
      <c r="F360" s="3" t="s">
        <v>4</v>
      </c>
      <c r="G360" s="3"/>
    </row>
    <row r="361" spans="1:7" x14ac:dyDescent="0.15">
      <c r="A361" s="2">
        <v>359</v>
      </c>
      <c r="B361" s="3" t="str">
        <f>"李富琴"</f>
        <v>李富琴</v>
      </c>
      <c r="C361" s="3" t="str">
        <f>"女        "</f>
        <v xml:space="preserve">女        </v>
      </c>
      <c r="D361" s="3" t="str">
        <f>"泉州师范学院汉语言文学"</f>
        <v>泉州师范学院汉语言文学</v>
      </c>
      <c r="E361" s="3" t="str">
        <f t="shared" si="55"/>
        <v>本科</v>
      </c>
      <c r="F361" s="3" t="s">
        <v>4</v>
      </c>
      <c r="G361" s="3"/>
    </row>
    <row r="362" spans="1:7" x14ac:dyDescent="0.15">
      <c r="A362" s="2">
        <v>360</v>
      </c>
      <c r="B362" s="3" t="str">
        <f>"林玉维"</f>
        <v>林玉维</v>
      </c>
      <c r="C362" s="3" t="str">
        <f>"女        "</f>
        <v xml:space="preserve">女        </v>
      </c>
      <c r="D362" s="3" t="str">
        <f>"昭通学院初等教育"</f>
        <v>昭通学院初等教育</v>
      </c>
      <c r="E362" s="3" t="s">
        <v>10</v>
      </c>
      <c r="F362" s="3" t="s">
        <v>4</v>
      </c>
      <c r="G362" s="3"/>
    </row>
    <row r="363" spans="1:7" x14ac:dyDescent="0.15">
      <c r="A363" s="2">
        <v>361</v>
      </c>
      <c r="B363" s="3" t="str">
        <f>"江娜"</f>
        <v>江娜</v>
      </c>
      <c r="C363" s="3" t="str">
        <f>"女        "</f>
        <v xml:space="preserve">女        </v>
      </c>
      <c r="D363" s="3" t="str">
        <f>"百色学院综合文科教育"</f>
        <v>百色学院综合文科教育</v>
      </c>
      <c r="E363" s="3" t="s">
        <v>10</v>
      </c>
      <c r="F363" s="3" t="s">
        <v>4</v>
      </c>
      <c r="G363" s="3"/>
    </row>
    <row r="364" spans="1:7" x14ac:dyDescent="0.15">
      <c r="A364" s="2">
        <v>362</v>
      </c>
      <c r="B364" s="3" t="str">
        <f>"廖香磊"</f>
        <v>廖香磊</v>
      </c>
      <c r="C364" s="3" t="str">
        <f>"男        "</f>
        <v xml:space="preserve">男        </v>
      </c>
      <c r="D364" s="3" t="str">
        <f>"保山学院体育教育"</f>
        <v>保山学院体育教育</v>
      </c>
      <c r="E364" s="3" t="s">
        <v>10</v>
      </c>
      <c r="F364" s="3" t="s">
        <v>7</v>
      </c>
      <c r="G364" s="3"/>
    </row>
    <row r="365" spans="1:7" x14ac:dyDescent="0.15">
      <c r="A365" s="2">
        <v>363</v>
      </c>
      <c r="B365" s="3" t="str">
        <f>"邓毅"</f>
        <v>邓毅</v>
      </c>
      <c r="C365" s="3" t="str">
        <f>"男        "</f>
        <v xml:space="preserve">男        </v>
      </c>
      <c r="D365" s="3" t="str">
        <f>"普洱学院历史教育"</f>
        <v>普洱学院历史教育</v>
      </c>
      <c r="E365" s="3" t="s">
        <v>10</v>
      </c>
      <c r="F365" s="3" t="s">
        <v>4</v>
      </c>
      <c r="G365" s="3"/>
    </row>
    <row r="366" spans="1:7" x14ac:dyDescent="0.15">
      <c r="A366" s="2">
        <v>364</v>
      </c>
      <c r="B366" s="3" t="str">
        <f>"罗彩花"</f>
        <v>罗彩花</v>
      </c>
      <c r="C366" s="3" t="str">
        <f>"女        "</f>
        <v xml:space="preserve">女        </v>
      </c>
      <c r="D366" s="3" t="str">
        <f>"广西科技师范学院数学教育"</f>
        <v>广西科技师范学院数学教育</v>
      </c>
      <c r="E366" s="3" t="s">
        <v>10</v>
      </c>
      <c r="F366" s="3" t="s">
        <v>5</v>
      </c>
      <c r="G366" s="3"/>
    </row>
    <row r="367" spans="1:7" x14ac:dyDescent="0.15">
      <c r="A367" s="2">
        <v>365</v>
      </c>
      <c r="B367" s="3" t="str">
        <f>"王晶"</f>
        <v>王晶</v>
      </c>
      <c r="C367" s="3" t="str">
        <f>"女        "</f>
        <v xml:space="preserve">女        </v>
      </c>
      <c r="D367" s="3" t="str">
        <f>"德宏师范高等专科学校思想政治教育"</f>
        <v>德宏师范高等专科学校思想政治教育</v>
      </c>
      <c r="E367" s="3" t="s">
        <v>10</v>
      </c>
      <c r="F367" s="3" t="s">
        <v>4</v>
      </c>
      <c r="G367" s="3"/>
    </row>
    <row r="368" spans="1:7" x14ac:dyDescent="0.15">
      <c r="A368" s="2">
        <v>366</v>
      </c>
      <c r="B368" s="3" t="str">
        <f>"闫粉容"</f>
        <v>闫粉容</v>
      </c>
      <c r="C368" s="3" t="str">
        <f>"女        "</f>
        <v xml:space="preserve">女        </v>
      </c>
      <c r="D368" s="3" t="str">
        <f>"普洱学院初等教育"</f>
        <v>普洱学院初等教育</v>
      </c>
      <c r="E368" s="3" t="s">
        <v>10</v>
      </c>
      <c r="F368" s="3" t="s">
        <v>4</v>
      </c>
      <c r="G368" s="3"/>
    </row>
    <row r="369" spans="1:7" x14ac:dyDescent="0.15">
      <c r="A369" s="2">
        <v>367</v>
      </c>
      <c r="B369" s="3" t="str">
        <f>"丰家梅"</f>
        <v>丰家梅</v>
      </c>
      <c r="C369" s="3" t="str">
        <f>"女        "</f>
        <v xml:space="preserve">女        </v>
      </c>
      <c r="D369" s="3" t="str">
        <f>"德宏师范高等专科学校初等教育"</f>
        <v>德宏师范高等专科学校初等教育</v>
      </c>
      <c r="E369" s="3" t="s">
        <v>10</v>
      </c>
      <c r="F369" s="3" t="s">
        <v>4</v>
      </c>
      <c r="G369" s="3"/>
    </row>
    <row r="370" spans="1:7" x14ac:dyDescent="0.15">
      <c r="A370" s="2">
        <v>368</v>
      </c>
      <c r="B370" s="3" t="str">
        <f>"覃海康"</f>
        <v>覃海康</v>
      </c>
      <c r="C370" s="3" t="str">
        <f>"男        "</f>
        <v xml:space="preserve">男        </v>
      </c>
      <c r="D370" s="3" t="str">
        <f>"贺州学院生物工程"</f>
        <v>贺州学院生物工程</v>
      </c>
      <c r="E370" s="3" t="str">
        <f t="shared" ref="E370:E372" si="56">"本科"</f>
        <v>本科</v>
      </c>
      <c r="F370" s="3" t="s">
        <v>5</v>
      </c>
      <c r="G370" s="3"/>
    </row>
    <row r="371" spans="1:7" x14ac:dyDescent="0.15">
      <c r="A371" s="2">
        <v>369</v>
      </c>
      <c r="B371" s="3" t="str">
        <f>"蒙忠凯"</f>
        <v>蒙忠凯</v>
      </c>
      <c r="C371" s="3" t="str">
        <f t="shared" ref="C371:C378" si="57">"女        "</f>
        <v xml:space="preserve">女        </v>
      </c>
      <c r="D371" s="3" t="str">
        <f>"云南大学金融学"</f>
        <v>云南大学金融学</v>
      </c>
      <c r="E371" s="3" t="str">
        <f t="shared" si="56"/>
        <v>本科</v>
      </c>
      <c r="F371" s="3" t="s">
        <v>5</v>
      </c>
      <c r="G371" s="3"/>
    </row>
    <row r="372" spans="1:7" x14ac:dyDescent="0.15">
      <c r="A372" s="2">
        <v>370</v>
      </c>
      <c r="B372" s="3" t="str">
        <f>"黄素莲"</f>
        <v>黄素莲</v>
      </c>
      <c r="C372" s="3" t="str">
        <f t="shared" si="57"/>
        <v xml:space="preserve">女        </v>
      </c>
      <c r="D372" s="3" t="str">
        <f>"广西民族师范学院汉语言文学"</f>
        <v>广西民族师范学院汉语言文学</v>
      </c>
      <c r="E372" s="3" t="str">
        <f t="shared" si="56"/>
        <v>本科</v>
      </c>
      <c r="F372" s="3" t="s">
        <v>4</v>
      </c>
      <c r="G372" s="3"/>
    </row>
    <row r="373" spans="1:7" x14ac:dyDescent="0.15">
      <c r="A373" s="2">
        <v>371</v>
      </c>
      <c r="B373" s="3" t="str">
        <f>"黄柳"</f>
        <v>黄柳</v>
      </c>
      <c r="C373" s="3" t="str">
        <f t="shared" si="57"/>
        <v xml:space="preserve">女        </v>
      </c>
      <c r="D373" s="3" t="str">
        <f>"桂林师范高等专科学校汉语"</f>
        <v>桂林师范高等专科学校汉语</v>
      </c>
      <c r="E373" s="3" t="s">
        <v>10</v>
      </c>
      <c r="F373" s="3" t="s">
        <v>4</v>
      </c>
      <c r="G373" s="3"/>
    </row>
    <row r="374" spans="1:7" x14ac:dyDescent="0.15">
      <c r="A374" s="2">
        <v>372</v>
      </c>
      <c r="B374" s="3" t="str">
        <f>"罗克伊"</f>
        <v>罗克伊</v>
      </c>
      <c r="C374" s="3" t="str">
        <f t="shared" si="57"/>
        <v xml:space="preserve">女        </v>
      </c>
      <c r="D374" s="3" t="str">
        <f>"黔南民族幼儿师范高等专科学校语文教育"</f>
        <v>黔南民族幼儿师范高等专科学校语文教育</v>
      </c>
      <c r="E374" s="3" t="s">
        <v>10</v>
      </c>
      <c r="F374" s="3" t="s">
        <v>4</v>
      </c>
      <c r="G374" s="3"/>
    </row>
    <row r="375" spans="1:7" x14ac:dyDescent="0.15">
      <c r="A375" s="2">
        <v>373</v>
      </c>
      <c r="B375" s="3" t="str">
        <f>"方彦匀"</f>
        <v>方彦匀</v>
      </c>
      <c r="C375" s="3" t="str">
        <f t="shared" si="57"/>
        <v xml:space="preserve">女        </v>
      </c>
      <c r="D375" s="3" t="str">
        <f>"贺州学院小学教育"</f>
        <v>贺州学院小学教育</v>
      </c>
      <c r="E375" s="3" t="str">
        <f t="shared" ref="E375:E376" si="58">"本科"</f>
        <v>本科</v>
      </c>
      <c r="F375" s="3" t="s">
        <v>4</v>
      </c>
      <c r="G375" s="3"/>
    </row>
    <row r="376" spans="1:7" x14ac:dyDescent="0.15">
      <c r="A376" s="2">
        <v>374</v>
      </c>
      <c r="B376" s="3" t="str">
        <f>"黄金秀"</f>
        <v>黄金秀</v>
      </c>
      <c r="C376" s="3" t="str">
        <f t="shared" si="57"/>
        <v xml:space="preserve">女        </v>
      </c>
      <c r="D376" s="3" t="str">
        <f>"云南农业大学行政管理"</f>
        <v>云南农业大学行政管理</v>
      </c>
      <c r="E376" s="3" t="str">
        <f t="shared" si="58"/>
        <v>本科</v>
      </c>
      <c r="F376" s="3" t="s">
        <v>4</v>
      </c>
      <c r="G376" s="3"/>
    </row>
    <row r="377" spans="1:7" x14ac:dyDescent="0.15">
      <c r="A377" s="2">
        <v>375</v>
      </c>
      <c r="B377" s="3" t="str">
        <f>"班彩练"</f>
        <v>班彩练</v>
      </c>
      <c r="C377" s="3" t="str">
        <f t="shared" si="57"/>
        <v xml:space="preserve">女        </v>
      </c>
      <c r="D377" s="3" t="str">
        <f>"百色学院综合文科教育"</f>
        <v>百色学院综合文科教育</v>
      </c>
      <c r="E377" s="3" t="s">
        <v>10</v>
      </c>
      <c r="F377" s="3" t="s">
        <v>4</v>
      </c>
      <c r="G377" s="3"/>
    </row>
    <row r="378" spans="1:7" x14ac:dyDescent="0.15">
      <c r="A378" s="2">
        <v>376</v>
      </c>
      <c r="B378" s="3" t="str">
        <f>"班秀铁"</f>
        <v>班秀铁</v>
      </c>
      <c r="C378" s="3" t="str">
        <f t="shared" si="57"/>
        <v xml:space="preserve">女        </v>
      </c>
      <c r="D378" s="3" t="str">
        <f>"广西科技师范学院化学"</f>
        <v>广西科技师范学院化学</v>
      </c>
      <c r="E378" s="3" t="s">
        <v>10</v>
      </c>
      <c r="F378" s="3" t="s">
        <v>5</v>
      </c>
      <c r="G378" s="3"/>
    </row>
    <row r="379" spans="1:7" x14ac:dyDescent="0.15">
      <c r="A379" s="2">
        <v>377</v>
      </c>
      <c r="B379" s="3" t="str">
        <f>"李正庆"</f>
        <v>李正庆</v>
      </c>
      <c r="C379" s="3" t="str">
        <f>"男        "</f>
        <v xml:space="preserve">男        </v>
      </c>
      <c r="D379" s="3" t="str">
        <f>"云南师范大学体育学院体育教育"</f>
        <v>云南师范大学体育学院体育教育</v>
      </c>
      <c r="E379" s="3" t="str">
        <f>"本科"</f>
        <v>本科</v>
      </c>
      <c r="F379" s="3" t="s">
        <v>7</v>
      </c>
      <c r="G379" s="3"/>
    </row>
    <row r="380" spans="1:7" x14ac:dyDescent="0.15">
      <c r="A380" s="2">
        <v>378</v>
      </c>
      <c r="B380" s="3" t="str">
        <f>"陆云巧"</f>
        <v>陆云巧</v>
      </c>
      <c r="C380" s="3" t="str">
        <f>"女        "</f>
        <v xml:space="preserve">女        </v>
      </c>
      <c r="D380" s="3" t="str">
        <f>"德宏师范高等专科学校思想政治教育"</f>
        <v>德宏师范高等专科学校思想政治教育</v>
      </c>
      <c r="E380" s="3" t="s">
        <v>10</v>
      </c>
      <c r="F380" s="3" t="s">
        <v>4</v>
      </c>
      <c r="G380" s="3"/>
    </row>
    <row r="381" spans="1:7" x14ac:dyDescent="0.15">
      <c r="A381" s="2">
        <v>379</v>
      </c>
      <c r="B381" s="3" t="str">
        <f>"万继波"</f>
        <v>万继波</v>
      </c>
      <c r="C381" s="3" t="str">
        <f>"女        "</f>
        <v xml:space="preserve">女        </v>
      </c>
      <c r="D381" s="3" t="str">
        <f>"大理大学汉语言文学"</f>
        <v>大理大学汉语言文学</v>
      </c>
      <c r="E381" s="3" t="str">
        <f t="shared" ref="E381:E382" si="59">"本科"</f>
        <v>本科</v>
      </c>
      <c r="F381" s="3" t="s">
        <v>4</v>
      </c>
      <c r="G381" s="3"/>
    </row>
    <row r="382" spans="1:7" x14ac:dyDescent="0.15">
      <c r="A382" s="2">
        <v>380</v>
      </c>
      <c r="B382" s="3" t="str">
        <f>"王艳良"</f>
        <v>王艳良</v>
      </c>
      <c r="C382" s="3" t="str">
        <f>"女        "</f>
        <v xml:space="preserve">女        </v>
      </c>
      <c r="D382" s="3" t="str">
        <f>"钦州学院音乐学舞台主持与表演方向"</f>
        <v>钦州学院音乐学舞台主持与表演方向</v>
      </c>
      <c r="E382" s="3" t="str">
        <f t="shared" si="59"/>
        <v>本科</v>
      </c>
      <c r="F382" s="3" t="s">
        <v>4</v>
      </c>
      <c r="G382" s="3"/>
    </row>
    <row r="383" spans="1:7" x14ac:dyDescent="0.15">
      <c r="A383" s="2">
        <v>381</v>
      </c>
      <c r="B383" s="3" t="str">
        <f>"陆海妮"</f>
        <v>陆海妮</v>
      </c>
      <c r="C383" s="3" t="str">
        <f>"女        "</f>
        <v xml:space="preserve">女        </v>
      </c>
      <c r="D383" s="3" t="str">
        <f>"柳州城市职业学院小学教育"</f>
        <v>柳州城市职业学院小学教育</v>
      </c>
      <c r="E383" s="3" t="s">
        <v>10</v>
      </c>
      <c r="F383" s="3" t="s">
        <v>5</v>
      </c>
      <c r="G383" s="3"/>
    </row>
    <row r="384" spans="1:7" x14ac:dyDescent="0.15">
      <c r="A384" s="2">
        <v>382</v>
      </c>
      <c r="B384" s="3" t="str">
        <f>"黄尚勇"</f>
        <v>黄尚勇</v>
      </c>
      <c r="C384" s="3" t="str">
        <f>"男        "</f>
        <v xml:space="preserve">男        </v>
      </c>
      <c r="D384" s="3" t="str">
        <f>"百色学院汉语"</f>
        <v>百色学院汉语</v>
      </c>
      <c r="E384" s="3" t="s">
        <v>10</v>
      </c>
      <c r="F384" s="3" t="s">
        <v>4</v>
      </c>
      <c r="G384" s="3"/>
    </row>
    <row r="385" spans="1:7" x14ac:dyDescent="0.15">
      <c r="A385" s="2">
        <v>383</v>
      </c>
      <c r="B385" s="3" t="str">
        <f>"王琮贵"</f>
        <v>王琮贵</v>
      </c>
      <c r="C385" s="3" t="str">
        <f>"男        "</f>
        <v xml:space="preserve">男        </v>
      </c>
      <c r="D385" s="3" t="str">
        <f>"广西外国语学院行政管理"</f>
        <v>广西外国语学院行政管理</v>
      </c>
      <c r="E385" s="3" t="str">
        <f>"本科"</f>
        <v>本科</v>
      </c>
      <c r="F385" s="3" t="s">
        <v>5</v>
      </c>
      <c r="G385" s="3"/>
    </row>
    <row r="386" spans="1:7" x14ac:dyDescent="0.15">
      <c r="A386" s="2">
        <v>384</v>
      </c>
      <c r="B386" s="3" t="str">
        <f>"李海霞"</f>
        <v>李海霞</v>
      </c>
      <c r="C386" s="3" t="str">
        <f t="shared" ref="C386:C396" si="60">"女        "</f>
        <v xml:space="preserve">女        </v>
      </c>
      <c r="D386" s="3" t="str">
        <f>"丽江师范高等专科学校小学教育"</f>
        <v>丽江师范高等专科学校小学教育</v>
      </c>
      <c r="E386" s="3" t="s">
        <v>10</v>
      </c>
      <c r="F386" s="3" t="s">
        <v>4</v>
      </c>
      <c r="G386" s="3"/>
    </row>
    <row r="387" spans="1:7" x14ac:dyDescent="0.15">
      <c r="A387" s="2">
        <v>385</v>
      </c>
      <c r="B387" s="3" t="str">
        <f>"侬琪"</f>
        <v>侬琪</v>
      </c>
      <c r="C387" s="3" t="str">
        <f t="shared" si="60"/>
        <v xml:space="preserve">女        </v>
      </c>
      <c r="D387" s="3" t="str">
        <f>"云南师范大学文理学院汉语言文学"</f>
        <v>云南师范大学文理学院汉语言文学</v>
      </c>
      <c r="E387" s="3" t="str">
        <f t="shared" ref="E387:E392" si="61">"本科"</f>
        <v>本科</v>
      </c>
      <c r="F387" s="3" t="s">
        <v>4</v>
      </c>
      <c r="G387" s="3"/>
    </row>
    <row r="388" spans="1:7" x14ac:dyDescent="0.15">
      <c r="A388" s="2">
        <v>386</v>
      </c>
      <c r="B388" s="3" t="str">
        <f>"华才梅"</f>
        <v>华才梅</v>
      </c>
      <c r="C388" s="3" t="str">
        <f t="shared" si="60"/>
        <v xml:space="preserve">女        </v>
      </c>
      <c r="D388" s="3" t="str">
        <f>"云南师范大学商学院财务管理"</f>
        <v>云南师范大学商学院财务管理</v>
      </c>
      <c r="E388" s="3" t="str">
        <f t="shared" si="61"/>
        <v>本科</v>
      </c>
      <c r="F388" s="3" t="s">
        <v>5</v>
      </c>
      <c r="G388" s="3"/>
    </row>
    <row r="389" spans="1:7" x14ac:dyDescent="0.15">
      <c r="A389" s="2">
        <v>387</v>
      </c>
      <c r="B389" s="3" t="str">
        <f>"杨秀仙"</f>
        <v>杨秀仙</v>
      </c>
      <c r="C389" s="3" t="str">
        <f t="shared" si="60"/>
        <v xml:space="preserve">女        </v>
      </c>
      <c r="D389" s="3" t="str">
        <f>"中南民族大学化学工程与工艺"</f>
        <v>中南民族大学化学工程与工艺</v>
      </c>
      <c r="E389" s="3" t="str">
        <f t="shared" si="61"/>
        <v>本科</v>
      </c>
      <c r="F389" s="3" t="s">
        <v>5</v>
      </c>
      <c r="G389" s="3"/>
    </row>
    <row r="390" spans="1:7" x14ac:dyDescent="0.15">
      <c r="A390" s="2">
        <v>388</v>
      </c>
      <c r="B390" s="3" t="str">
        <f>"王娜"</f>
        <v>王娜</v>
      </c>
      <c r="C390" s="3" t="str">
        <f t="shared" si="60"/>
        <v xml:space="preserve">女        </v>
      </c>
      <c r="D390" s="3" t="str">
        <f>"保山学院政治学与行政学"</f>
        <v>保山学院政治学与行政学</v>
      </c>
      <c r="E390" s="3" t="str">
        <f t="shared" si="61"/>
        <v>本科</v>
      </c>
      <c r="F390" s="3" t="s">
        <v>4</v>
      </c>
      <c r="G390" s="3"/>
    </row>
    <row r="391" spans="1:7" x14ac:dyDescent="0.15">
      <c r="A391" s="2">
        <v>389</v>
      </c>
      <c r="B391" s="3" t="str">
        <f>"李鑫锐"</f>
        <v>李鑫锐</v>
      </c>
      <c r="C391" s="3" t="str">
        <f t="shared" si="60"/>
        <v xml:space="preserve">女        </v>
      </c>
      <c r="D391" s="3" t="str">
        <f>"西南林业大学信息与计算科学"</f>
        <v>西南林业大学信息与计算科学</v>
      </c>
      <c r="E391" s="3" t="str">
        <f t="shared" si="61"/>
        <v>本科</v>
      </c>
      <c r="F391" s="3" t="s">
        <v>5</v>
      </c>
      <c r="G391" s="3"/>
    </row>
    <row r="392" spans="1:7" x14ac:dyDescent="0.15">
      <c r="A392" s="2">
        <v>390</v>
      </c>
      <c r="B392" s="3" t="str">
        <f>"田玲"</f>
        <v>田玲</v>
      </c>
      <c r="C392" s="3" t="str">
        <f t="shared" si="60"/>
        <v xml:space="preserve">女        </v>
      </c>
      <c r="D392" s="3" t="str">
        <f>"玉溪师范学院小学教育"</f>
        <v>玉溪师范学院小学教育</v>
      </c>
      <c r="E392" s="3" t="str">
        <f t="shared" si="61"/>
        <v>本科</v>
      </c>
      <c r="F392" s="3" t="s">
        <v>5</v>
      </c>
      <c r="G392" s="3"/>
    </row>
    <row r="393" spans="1:7" x14ac:dyDescent="0.15">
      <c r="A393" s="2">
        <v>391</v>
      </c>
      <c r="B393" s="3" t="str">
        <f>"杨爱梅"</f>
        <v>杨爱梅</v>
      </c>
      <c r="C393" s="3" t="str">
        <f t="shared" si="60"/>
        <v xml:space="preserve">女        </v>
      </c>
      <c r="D393" s="3" t="str">
        <f>"普洱学院初等教育"</f>
        <v>普洱学院初等教育</v>
      </c>
      <c r="E393" s="3" t="s">
        <v>10</v>
      </c>
      <c r="F393" s="3" t="s">
        <v>4</v>
      </c>
      <c r="G393" s="3"/>
    </row>
    <row r="394" spans="1:7" x14ac:dyDescent="0.15">
      <c r="A394" s="2">
        <v>392</v>
      </c>
      <c r="B394" s="3" t="str">
        <f>"朱玉兰"</f>
        <v>朱玉兰</v>
      </c>
      <c r="C394" s="3" t="str">
        <f t="shared" si="60"/>
        <v xml:space="preserve">女        </v>
      </c>
      <c r="D394" s="3" t="str">
        <f>"德宏师范高等专科学校初等教育"</f>
        <v>德宏师范高等专科学校初等教育</v>
      </c>
      <c r="E394" s="3" t="s">
        <v>10</v>
      </c>
      <c r="F394" s="3" t="s">
        <v>4</v>
      </c>
      <c r="G394" s="3"/>
    </row>
    <row r="395" spans="1:7" x14ac:dyDescent="0.15">
      <c r="A395" s="2">
        <v>393</v>
      </c>
      <c r="B395" s="3" t="str">
        <f>"范青薛"</f>
        <v>范青薛</v>
      </c>
      <c r="C395" s="3" t="str">
        <f t="shared" si="60"/>
        <v xml:space="preserve">女        </v>
      </c>
      <c r="D395" s="3" t="str">
        <f>"昭通学院初等教育"</f>
        <v>昭通学院初等教育</v>
      </c>
      <c r="E395" s="3" t="s">
        <v>10</v>
      </c>
      <c r="F395" s="3" t="s">
        <v>4</v>
      </c>
      <c r="G395" s="3"/>
    </row>
    <row r="396" spans="1:7" x14ac:dyDescent="0.15">
      <c r="A396" s="2">
        <v>394</v>
      </c>
      <c r="B396" s="3" t="str">
        <f>"何翠芝"</f>
        <v>何翠芝</v>
      </c>
      <c r="C396" s="3" t="str">
        <f t="shared" si="60"/>
        <v xml:space="preserve">女        </v>
      </c>
      <c r="D396" s="3" t="str">
        <f>"文山学院小学教育"</f>
        <v>文山学院小学教育</v>
      </c>
      <c r="E396" s="3" t="str">
        <f t="shared" ref="E396:E397" si="62">"本科"</f>
        <v>本科</v>
      </c>
      <c r="F396" s="3" t="s">
        <v>4</v>
      </c>
      <c r="G396" s="3"/>
    </row>
    <row r="397" spans="1:7" x14ac:dyDescent="0.15">
      <c r="A397" s="2">
        <v>395</v>
      </c>
      <c r="B397" s="3" t="str">
        <f>"黄河"</f>
        <v>黄河</v>
      </c>
      <c r="C397" s="3" t="str">
        <f>"男        "</f>
        <v xml:space="preserve">男        </v>
      </c>
      <c r="D397" s="3" t="str">
        <f>"广西民族师范学院电子信息工程"</f>
        <v>广西民族师范学院电子信息工程</v>
      </c>
      <c r="E397" s="3" t="str">
        <f t="shared" si="62"/>
        <v>本科</v>
      </c>
      <c r="F397" s="3" t="s">
        <v>5</v>
      </c>
      <c r="G397" s="3"/>
    </row>
    <row r="398" spans="1:7" x14ac:dyDescent="0.15">
      <c r="A398" s="2">
        <v>396</v>
      </c>
      <c r="B398" s="3" t="str">
        <f>"农彩甘"</f>
        <v>农彩甘</v>
      </c>
      <c r="C398" s="3" t="str">
        <f>"女        "</f>
        <v xml:space="preserve">女        </v>
      </c>
      <c r="D398" s="3" t="str">
        <f>"南宁师范大学小学教育"</f>
        <v>南宁师范大学小学教育</v>
      </c>
      <c r="E398" s="3" t="s">
        <v>10</v>
      </c>
      <c r="F398" s="3" t="s">
        <v>4</v>
      </c>
      <c r="G398" s="3"/>
    </row>
    <row r="399" spans="1:7" x14ac:dyDescent="0.15">
      <c r="A399" s="2">
        <v>397</v>
      </c>
      <c r="B399" s="3" t="str">
        <f>"窦春艳"</f>
        <v>窦春艳</v>
      </c>
      <c r="C399" s="3" t="str">
        <f>"女        "</f>
        <v xml:space="preserve">女        </v>
      </c>
      <c r="D399" s="3" t="str">
        <f>"丽江师范高等专科学校大专"</f>
        <v>丽江师范高等专科学校大专</v>
      </c>
      <c r="E399" s="3" t="s">
        <v>10</v>
      </c>
      <c r="F399" s="3" t="s">
        <v>5</v>
      </c>
      <c r="G399" s="3"/>
    </row>
    <row r="400" spans="1:7" x14ac:dyDescent="0.15">
      <c r="A400" s="2">
        <v>398</v>
      </c>
      <c r="B400" s="3" t="str">
        <f>"王慧芬"</f>
        <v>王慧芬</v>
      </c>
      <c r="C400" s="3" t="str">
        <f>"女        "</f>
        <v xml:space="preserve">女        </v>
      </c>
      <c r="D400" s="3" t="str">
        <f>"德宏师范高等专科学校数学教育"</f>
        <v>德宏师范高等专科学校数学教育</v>
      </c>
      <c r="E400" s="3" t="s">
        <v>10</v>
      </c>
      <c r="F400" s="3" t="s">
        <v>5</v>
      </c>
      <c r="G400" s="3"/>
    </row>
    <row r="401" spans="1:7" x14ac:dyDescent="0.15">
      <c r="A401" s="2">
        <v>399</v>
      </c>
      <c r="B401" s="3" t="str">
        <f>"毕兴俊"</f>
        <v>毕兴俊</v>
      </c>
      <c r="C401" s="3" t="str">
        <f>"男        "</f>
        <v xml:space="preserve">男        </v>
      </c>
      <c r="D401" s="3" t="str">
        <f>"肇庆学院艺术教育"</f>
        <v>肇庆学院艺术教育</v>
      </c>
      <c r="E401" s="3" t="str">
        <f>"本科"</f>
        <v>本科</v>
      </c>
      <c r="F401" s="3" t="s">
        <v>8</v>
      </c>
      <c r="G401" s="3"/>
    </row>
    <row r="402" spans="1:7" x14ac:dyDescent="0.15">
      <c r="A402" s="2">
        <v>400</v>
      </c>
      <c r="B402" s="3" t="str">
        <f>"陆贤算"</f>
        <v>陆贤算</v>
      </c>
      <c r="C402" s="3" t="str">
        <f>"女        "</f>
        <v xml:space="preserve">女        </v>
      </c>
      <c r="D402" s="3" t="str">
        <f>"德宏师范高等专科学校化学教育"</f>
        <v>德宏师范高等专科学校化学教育</v>
      </c>
      <c r="E402" s="3" t="s">
        <v>10</v>
      </c>
      <c r="F402" s="3" t="s">
        <v>5</v>
      </c>
      <c r="G402" s="3"/>
    </row>
    <row r="403" spans="1:7" x14ac:dyDescent="0.15">
      <c r="A403" s="2">
        <v>401</v>
      </c>
      <c r="B403" s="3" t="str">
        <f>"梁金荣"</f>
        <v>梁金荣</v>
      </c>
      <c r="C403" s="3" t="str">
        <f>"女        "</f>
        <v xml:space="preserve">女        </v>
      </c>
      <c r="D403" s="3" t="str">
        <f>"南宁地区教育学院思想政治教育"</f>
        <v>南宁地区教育学院思想政治教育</v>
      </c>
      <c r="E403" s="3" t="s">
        <v>10</v>
      </c>
      <c r="F403" s="3" t="s">
        <v>4</v>
      </c>
      <c r="G403" s="3"/>
    </row>
    <row r="404" spans="1:7" x14ac:dyDescent="0.15">
      <c r="A404" s="2">
        <v>402</v>
      </c>
      <c r="B404" s="3" t="str">
        <f>"韦祖金"</f>
        <v>韦祖金</v>
      </c>
      <c r="C404" s="3" t="str">
        <f>"女        "</f>
        <v xml:space="preserve">女        </v>
      </c>
      <c r="D404" s="3" t="str">
        <f>"昆明理工大学津桥学院工商管理"</f>
        <v>昆明理工大学津桥学院工商管理</v>
      </c>
      <c r="E404" s="3" t="str">
        <f>"本科"</f>
        <v>本科</v>
      </c>
      <c r="F404" s="3" t="s">
        <v>4</v>
      </c>
      <c r="G404" s="3"/>
    </row>
    <row r="405" spans="1:7" x14ac:dyDescent="0.15">
      <c r="A405" s="2">
        <v>403</v>
      </c>
      <c r="B405" s="3" t="str">
        <f>"邓丽芳"</f>
        <v>邓丽芳</v>
      </c>
      <c r="C405" s="3" t="str">
        <f>"女        "</f>
        <v xml:space="preserve">女        </v>
      </c>
      <c r="D405" s="3" t="str">
        <f>"百色学院综合文科教育"</f>
        <v>百色学院综合文科教育</v>
      </c>
      <c r="E405" s="3" t="s">
        <v>10</v>
      </c>
      <c r="F405" s="3" t="s">
        <v>4</v>
      </c>
      <c r="G405" s="3"/>
    </row>
    <row r="406" spans="1:7" x14ac:dyDescent="0.15">
      <c r="A406" s="2">
        <v>404</v>
      </c>
      <c r="B406" s="3" t="str">
        <f>"周飞燕"</f>
        <v>周飞燕</v>
      </c>
      <c r="C406" s="3" t="str">
        <f>"女        "</f>
        <v xml:space="preserve">女        </v>
      </c>
      <c r="D406" s="3" t="str">
        <f>"普洱学院思想政治教育"</f>
        <v>普洱学院思想政治教育</v>
      </c>
      <c r="E406" s="3" t="s">
        <v>10</v>
      </c>
      <c r="F406" s="3" t="s">
        <v>4</v>
      </c>
      <c r="G406" s="3"/>
    </row>
    <row r="407" spans="1:7" x14ac:dyDescent="0.15">
      <c r="A407" s="2">
        <v>405</v>
      </c>
      <c r="B407" s="3" t="str">
        <f>"张批副"</f>
        <v>张批副</v>
      </c>
      <c r="C407" s="3" t="str">
        <f>"男        "</f>
        <v xml:space="preserve">男        </v>
      </c>
      <c r="D407" s="3" t="str">
        <f>"滇西科技师范学院初等教育理科方向"</f>
        <v>滇西科技师范学院初等教育理科方向</v>
      </c>
      <c r="E407" s="3" t="s">
        <v>10</v>
      </c>
      <c r="F407" s="3" t="s">
        <v>5</v>
      </c>
      <c r="G407" s="3"/>
    </row>
    <row r="408" spans="1:7" x14ac:dyDescent="0.15">
      <c r="A408" s="2">
        <v>406</v>
      </c>
      <c r="B408" s="3" t="str">
        <f>"李桂梅"</f>
        <v>李桂梅</v>
      </c>
      <c r="C408" s="3" t="str">
        <f>"女        "</f>
        <v xml:space="preserve">女        </v>
      </c>
      <c r="D408" s="3" t="str">
        <f>"文山学院英语教育"</f>
        <v>文山学院英语教育</v>
      </c>
      <c r="E408" s="3" t="s">
        <v>10</v>
      </c>
      <c r="F408" s="3" t="s">
        <v>6</v>
      </c>
      <c r="G408" s="3"/>
    </row>
    <row r="409" spans="1:7" x14ac:dyDescent="0.15">
      <c r="A409" s="2">
        <v>407</v>
      </c>
      <c r="B409" s="3" t="str">
        <f>"王建朋"</f>
        <v>王建朋</v>
      </c>
      <c r="C409" s="3" t="str">
        <f>"男        "</f>
        <v xml:space="preserve">男        </v>
      </c>
      <c r="D409" s="3" t="str">
        <f>"遵义师范学院数学教育"</f>
        <v>遵义师范学院数学教育</v>
      </c>
      <c r="E409" s="3" t="s">
        <v>10</v>
      </c>
      <c r="F409" s="3" t="s">
        <v>5</v>
      </c>
      <c r="G409" s="3"/>
    </row>
    <row r="410" spans="1:7" x14ac:dyDescent="0.15">
      <c r="A410" s="2">
        <v>408</v>
      </c>
      <c r="B410" s="3" t="str">
        <f>"滕美勤"</f>
        <v>滕美勤</v>
      </c>
      <c r="C410" s="3" t="str">
        <f>"女        "</f>
        <v xml:space="preserve">女        </v>
      </c>
      <c r="D410" s="3" t="str">
        <f>"百色学院学前教育"</f>
        <v>百色学院学前教育</v>
      </c>
      <c r="E410" s="3" t="s">
        <v>10</v>
      </c>
      <c r="F410" s="3" t="s">
        <v>4</v>
      </c>
      <c r="G410" s="3"/>
    </row>
    <row r="411" spans="1:7" x14ac:dyDescent="0.15">
      <c r="A411" s="2">
        <v>409</v>
      </c>
      <c r="B411" s="3" t="str">
        <f>"潘仕江"</f>
        <v>潘仕江</v>
      </c>
      <c r="C411" s="3" t="str">
        <f>"男        "</f>
        <v xml:space="preserve">男        </v>
      </c>
      <c r="D411" s="3" t="str">
        <f>"南昌工学院物流工程"</f>
        <v>南昌工学院物流工程</v>
      </c>
      <c r="E411" s="3" t="str">
        <f>"本科"</f>
        <v>本科</v>
      </c>
      <c r="F411" s="3" t="s">
        <v>4</v>
      </c>
      <c r="G411" s="3"/>
    </row>
    <row r="412" spans="1:7" x14ac:dyDescent="0.15">
      <c r="A412" s="2">
        <v>410</v>
      </c>
      <c r="B412" s="3" t="str">
        <f>"黄俊"</f>
        <v>黄俊</v>
      </c>
      <c r="C412" s="3" t="str">
        <f>"男        "</f>
        <v xml:space="preserve">男        </v>
      </c>
      <c r="D412" s="3" t="str">
        <f>"德宏师范高等专科学校数学教育"</f>
        <v>德宏师范高等专科学校数学教育</v>
      </c>
      <c r="E412" s="3" t="s">
        <v>10</v>
      </c>
      <c r="F412" s="3" t="s">
        <v>5</v>
      </c>
      <c r="G412" s="3"/>
    </row>
    <row r="413" spans="1:7" x14ac:dyDescent="0.15">
      <c r="A413" s="2">
        <v>411</v>
      </c>
      <c r="B413" s="3" t="str">
        <f>"蔡祖田"</f>
        <v>蔡祖田</v>
      </c>
      <c r="C413" s="3" t="str">
        <f>"男        "</f>
        <v xml:space="preserve">男        </v>
      </c>
      <c r="D413" s="3" t="str">
        <f>"文山学院初等教育"</f>
        <v>文山学院初等教育</v>
      </c>
      <c r="E413" s="3" t="s">
        <v>10</v>
      </c>
      <c r="F413" s="3" t="s">
        <v>5</v>
      </c>
      <c r="G413" s="3"/>
    </row>
    <row r="414" spans="1:7" x14ac:dyDescent="0.15">
      <c r="A414" s="2">
        <v>412</v>
      </c>
      <c r="B414" s="3" t="str">
        <f>"谢佳成"</f>
        <v>谢佳成</v>
      </c>
      <c r="C414" s="3" t="str">
        <f>"男        "</f>
        <v xml:space="preserve">男        </v>
      </c>
      <c r="D414" s="3" t="str">
        <f>"广西师范学院师园学院汉语言文学"</f>
        <v>广西师范学院师园学院汉语言文学</v>
      </c>
      <c r="E414" s="3" t="str">
        <f t="shared" ref="E414:E416" si="63">"本科"</f>
        <v>本科</v>
      </c>
      <c r="F414" s="3" t="s">
        <v>4</v>
      </c>
      <c r="G414" s="3"/>
    </row>
    <row r="415" spans="1:7" x14ac:dyDescent="0.15">
      <c r="A415" s="2">
        <v>413</v>
      </c>
      <c r="B415" s="3" t="str">
        <f>"黄莉艳"</f>
        <v>黄莉艳</v>
      </c>
      <c r="C415" s="3" t="str">
        <f t="shared" ref="C415:C421" si="64">"女        "</f>
        <v xml:space="preserve">女        </v>
      </c>
      <c r="D415" s="3" t="str">
        <f>"广西民族师范学院学前教育"</f>
        <v>广西民族师范学院学前教育</v>
      </c>
      <c r="E415" s="3" t="str">
        <f t="shared" si="63"/>
        <v>本科</v>
      </c>
      <c r="F415" s="3" t="s">
        <v>5</v>
      </c>
      <c r="G415" s="3"/>
    </row>
    <row r="416" spans="1:7" x14ac:dyDescent="0.15">
      <c r="A416" s="2">
        <v>414</v>
      </c>
      <c r="B416" s="3" t="str">
        <f>"黄啟珍"</f>
        <v>黄啟珍</v>
      </c>
      <c r="C416" s="3" t="str">
        <f t="shared" si="64"/>
        <v xml:space="preserve">女        </v>
      </c>
      <c r="D416" s="3" t="str">
        <f>"云南民族大学市场营销"</f>
        <v>云南民族大学市场营销</v>
      </c>
      <c r="E416" s="3" t="str">
        <f t="shared" si="63"/>
        <v>本科</v>
      </c>
      <c r="F416" s="3" t="s">
        <v>5</v>
      </c>
      <c r="G416" s="3"/>
    </row>
    <row r="417" spans="1:7" x14ac:dyDescent="0.15">
      <c r="A417" s="2">
        <v>415</v>
      </c>
      <c r="B417" s="3" t="str">
        <f>"甘月娥"</f>
        <v>甘月娥</v>
      </c>
      <c r="C417" s="3" t="str">
        <f t="shared" si="64"/>
        <v xml:space="preserve">女        </v>
      </c>
      <c r="D417" s="3" t="str">
        <f>"百色学院综合文科教育"</f>
        <v>百色学院综合文科教育</v>
      </c>
      <c r="E417" s="3" t="s">
        <v>10</v>
      </c>
      <c r="F417" s="3" t="s">
        <v>4</v>
      </c>
      <c r="G417" s="3"/>
    </row>
    <row r="418" spans="1:7" x14ac:dyDescent="0.15">
      <c r="A418" s="2">
        <v>416</v>
      </c>
      <c r="B418" s="3" t="str">
        <f>"董盛莹"</f>
        <v>董盛莹</v>
      </c>
      <c r="C418" s="3" t="str">
        <f t="shared" si="64"/>
        <v xml:space="preserve">女        </v>
      </c>
      <c r="D418" s="3" t="str">
        <f>"云南大学旅游文化学院汉语言文学"</f>
        <v>云南大学旅游文化学院汉语言文学</v>
      </c>
      <c r="E418" s="3" t="str">
        <f t="shared" ref="E418:E422" si="65">"本科"</f>
        <v>本科</v>
      </c>
      <c r="F418" s="3" t="s">
        <v>4</v>
      </c>
      <c r="G418" s="3"/>
    </row>
    <row r="419" spans="1:7" x14ac:dyDescent="0.15">
      <c r="A419" s="2">
        <v>417</v>
      </c>
      <c r="B419" s="3" t="str">
        <f>"韦珊珊"</f>
        <v>韦珊珊</v>
      </c>
      <c r="C419" s="3" t="str">
        <f t="shared" si="64"/>
        <v xml:space="preserve">女        </v>
      </c>
      <c r="D419" s="3" t="str">
        <f>"广西民族大学电子信息工程"</f>
        <v>广西民族大学电子信息工程</v>
      </c>
      <c r="E419" s="3" t="str">
        <f t="shared" si="65"/>
        <v>本科</v>
      </c>
      <c r="F419" s="3" t="s">
        <v>5</v>
      </c>
      <c r="G419" s="3"/>
    </row>
    <row r="420" spans="1:7" x14ac:dyDescent="0.15">
      <c r="A420" s="2">
        <v>418</v>
      </c>
      <c r="B420" s="3" t="str">
        <f>"黄晓"</f>
        <v>黄晓</v>
      </c>
      <c r="C420" s="3" t="str">
        <f t="shared" si="64"/>
        <v xml:space="preserve">女        </v>
      </c>
      <c r="D420" s="3" t="str">
        <f>"云南师范大学商学院汉语言文学"</f>
        <v>云南师范大学商学院汉语言文学</v>
      </c>
      <c r="E420" s="3" t="str">
        <f t="shared" si="65"/>
        <v>本科</v>
      </c>
      <c r="F420" s="3" t="s">
        <v>4</v>
      </c>
      <c r="G420" s="3"/>
    </row>
    <row r="421" spans="1:7" x14ac:dyDescent="0.15">
      <c r="A421" s="2">
        <v>419</v>
      </c>
      <c r="B421" s="3" t="str">
        <f>"何超立"</f>
        <v>何超立</v>
      </c>
      <c r="C421" s="3" t="str">
        <f t="shared" si="64"/>
        <v xml:space="preserve">女        </v>
      </c>
      <c r="D421" s="3" t="str">
        <f>"广西师范大学漓江学院泰语"</f>
        <v>广西师范大学漓江学院泰语</v>
      </c>
      <c r="E421" s="3" t="str">
        <f t="shared" si="65"/>
        <v>本科</v>
      </c>
      <c r="F421" s="3" t="s">
        <v>4</v>
      </c>
      <c r="G421" s="3"/>
    </row>
    <row r="422" spans="1:7" x14ac:dyDescent="0.15">
      <c r="A422" s="2">
        <v>420</v>
      </c>
      <c r="B422" s="3" t="str">
        <f>"姚序松"</f>
        <v>姚序松</v>
      </c>
      <c r="C422" s="3" t="str">
        <f>"男        "</f>
        <v xml:space="preserve">男        </v>
      </c>
      <c r="D422" s="3" t="str">
        <f>"文山学院汉语言文学"</f>
        <v>文山学院汉语言文学</v>
      </c>
      <c r="E422" s="3" t="str">
        <f t="shared" si="65"/>
        <v>本科</v>
      </c>
      <c r="F422" s="3" t="s">
        <v>4</v>
      </c>
      <c r="G422" s="3"/>
    </row>
    <row r="423" spans="1:7" x14ac:dyDescent="0.15">
      <c r="A423" s="2">
        <v>421</v>
      </c>
      <c r="B423" s="3" t="str">
        <f>"季能光"</f>
        <v>季能光</v>
      </c>
      <c r="C423" s="3" t="str">
        <f>"男        "</f>
        <v xml:space="preserve">男        </v>
      </c>
      <c r="D423" s="3" t="str">
        <f>"保山学院语文教育"</f>
        <v>保山学院语文教育</v>
      </c>
      <c r="E423" s="3" t="s">
        <v>10</v>
      </c>
      <c r="F423" s="3" t="s">
        <v>4</v>
      </c>
      <c r="G423" s="3"/>
    </row>
    <row r="424" spans="1:7" x14ac:dyDescent="0.15">
      <c r="A424" s="2">
        <v>422</v>
      </c>
      <c r="B424" s="3" t="str">
        <f>"韦美秋"</f>
        <v>韦美秋</v>
      </c>
      <c r="C424" s="3" t="str">
        <f t="shared" ref="C424:C435" si="66">"女        "</f>
        <v xml:space="preserve">女        </v>
      </c>
      <c r="D424" s="3" t="str">
        <f>"百色学院汉语言文学"</f>
        <v>百色学院汉语言文学</v>
      </c>
      <c r="E424" s="3" t="str">
        <f t="shared" ref="E424:E429" si="67">"本科"</f>
        <v>本科</v>
      </c>
      <c r="F424" s="3" t="s">
        <v>4</v>
      </c>
      <c r="G424" s="3"/>
    </row>
    <row r="425" spans="1:7" x14ac:dyDescent="0.15">
      <c r="A425" s="2">
        <v>423</v>
      </c>
      <c r="B425" s="3" t="str">
        <f>"李建梅"</f>
        <v>李建梅</v>
      </c>
      <c r="C425" s="3" t="str">
        <f t="shared" si="66"/>
        <v xml:space="preserve">女        </v>
      </c>
      <c r="D425" s="3" t="str">
        <f>"玉溪师范学院信息管理与信息系统"</f>
        <v>玉溪师范学院信息管理与信息系统</v>
      </c>
      <c r="E425" s="3" t="str">
        <f t="shared" si="67"/>
        <v>本科</v>
      </c>
      <c r="F425" s="3" t="s">
        <v>9</v>
      </c>
      <c r="G425" s="3"/>
    </row>
    <row r="426" spans="1:7" x14ac:dyDescent="0.15">
      <c r="A426" s="2">
        <v>424</v>
      </c>
      <c r="B426" s="3" t="str">
        <f>"农蕙茜"</f>
        <v>农蕙茜</v>
      </c>
      <c r="C426" s="3" t="str">
        <f t="shared" si="66"/>
        <v xml:space="preserve">女        </v>
      </c>
      <c r="D426" s="3" t="str">
        <f>"广西民族大学工商管理"</f>
        <v>广西民族大学工商管理</v>
      </c>
      <c r="E426" s="3" t="str">
        <f t="shared" si="67"/>
        <v>本科</v>
      </c>
      <c r="F426" s="3" t="s">
        <v>5</v>
      </c>
      <c r="G426" s="3"/>
    </row>
    <row r="427" spans="1:7" x14ac:dyDescent="0.15">
      <c r="A427" s="2">
        <v>425</v>
      </c>
      <c r="B427" s="3" t="str">
        <f>"覃美江"</f>
        <v>覃美江</v>
      </c>
      <c r="C427" s="3" t="str">
        <f t="shared" si="66"/>
        <v xml:space="preserve">女        </v>
      </c>
      <c r="D427" s="3" t="str">
        <f>"桂林电子科技大学人力资源管理"</f>
        <v>桂林电子科技大学人力资源管理</v>
      </c>
      <c r="E427" s="3" t="str">
        <f t="shared" si="67"/>
        <v>本科</v>
      </c>
      <c r="F427" s="3" t="s">
        <v>5</v>
      </c>
      <c r="G427" s="3"/>
    </row>
    <row r="428" spans="1:7" x14ac:dyDescent="0.15">
      <c r="A428" s="2">
        <v>426</v>
      </c>
      <c r="B428" s="3" t="str">
        <f>"卢荣妹"</f>
        <v>卢荣妹</v>
      </c>
      <c r="C428" s="3" t="str">
        <f t="shared" si="66"/>
        <v xml:space="preserve">女        </v>
      </c>
      <c r="D428" s="3" t="str">
        <f>"曲靖师范学院思想政治教育"</f>
        <v>曲靖师范学院思想政治教育</v>
      </c>
      <c r="E428" s="3" t="str">
        <f t="shared" si="67"/>
        <v>本科</v>
      </c>
      <c r="F428" s="3" t="s">
        <v>4</v>
      </c>
      <c r="G428" s="3"/>
    </row>
    <row r="429" spans="1:7" x14ac:dyDescent="0.15">
      <c r="A429" s="2">
        <v>427</v>
      </c>
      <c r="B429" s="3" t="str">
        <f>"方唯"</f>
        <v>方唯</v>
      </c>
      <c r="C429" s="3" t="str">
        <f t="shared" si="66"/>
        <v xml:space="preserve">女        </v>
      </c>
      <c r="D429" s="3" t="str">
        <f>"广西民族大学相思湖学院国际经济与贸易"</f>
        <v>广西民族大学相思湖学院国际经济与贸易</v>
      </c>
      <c r="E429" s="3" t="str">
        <f t="shared" si="67"/>
        <v>本科</v>
      </c>
      <c r="F429" s="3" t="s">
        <v>5</v>
      </c>
      <c r="G429" s="3"/>
    </row>
    <row r="430" spans="1:7" x14ac:dyDescent="0.15">
      <c r="A430" s="2">
        <v>428</v>
      </c>
      <c r="B430" s="3" t="str">
        <f>"黄智会"</f>
        <v>黄智会</v>
      </c>
      <c r="C430" s="3" t="str">
        <f t="shared" si="66"/>
        <v xml:space="preserve">女        </v>
      </c>
      <c r="D430" s="3" t="str">
        <f>"普洱学院思想政治教育"</f>
        <v>普洱学院思想政治教育</v>
      </c>
      <c r="E430" s="3" t="s">
        <v>10</v>
      </c>
      <c r="F430" s="3" t="s">
        <v>4</v>
      </c>
      <c r="G430" s="3"/>
    </row>
    <row r="431" spans="1:7" x14ac:dyDescent="0.15">
      <c r="A431" s="2">
        <v>429</v>
      </c>
      <c r="B431" s="3" t="str">
        <f>"农兰妹"</f>
        <v>农兰妹</v>
      </c>
      <c r="C431" s="3" t="str">
        <f t="shared" si="66"/>
        <v xml:space="preserve">女        </v>
      </c>
      <c r="D431" s="3" t="str">
        <f>"百色学院学前教育"</f>
        <v>百色学院学前教育</v>
      </c>
      <c r="E431" s="3" t="str">
        <f t="shared" ref="E431:E433" si="68">"本科"</f>
        <v>本科</v>
      </c>
      <c r="F431" s="3" t="s">
        <v>5</v>
      </c>
      <c r="G431" s="3"/>
    </row>
    <row r="432" spans="1:7" x14ac:dyDescent="0.15">
      <c r="A432" s="2">
        <v>430</v>
      </c>
      <c r="B432" s="3" t="str">
        <f>"叶妮娜"</f>
        <v>叶妮娜</v>
      </c>
      <c r="C432" s="3" t="str">
        <f t="shared" si="66"/>
        <v xml:space="preserve">女        </v>
      </c>
      <c r="D432" s="3" t="str">
        <f>"广西民族师范学院汉语言文学"</f>
        <v>广西民族师范学院汉语言文学</v>
      </c>
      <c r="E432" s="3" t="str">
        <f t="shared" si="68"/>
        <v>本科</v>
      </c>
      <c r="F432" s="3" t="s">
        <v>4</v>
      </c>
      <c r="G432" s="3"/>
    </row>
    <row r="433" spans="1:7" x14ac:dyDescent="0.15">
      <c r="A433" s="2">
        <v>431</v>
      </c>
      <c r="B433" s="3" t="str">
        <f>"高家敏"</f>
        <v>高家敏</v>
      </c>
      <c r="C433" s="3" t="str">
        <f t="shared" si="66"/>
        <v xml:space="preserve">女        </v>
      </c>
      <c r="D433" s="3" t="str">
        <f>"红河学院思想政治教育"</f>
        <v>红河学院思想政治教育</v>
      </c>
      <c r="E433" s="3" t="str">
        <f t="shared" si="68"/>
        <v>本科</v>
      </c>
      <c r="F433" s="3" t="s">
        <v>4</v>
      </c>
      <c r="G433" s="3"/>
    </row>
    <row r="434" spans="1:7" x14ac:dyDescent="0.15">
      <c r="A434" s="2">
        <v>432</v>
      </c>
      <c r="B434" s="3" t="str">
        <f>"张付琴"</f>
        <v>张付琴</v>
      </c>
      <c r="C434" s="3" t="str">
        <f t="shared" si="66"/>
        <v xml:space="preserve">女        </v>
      </c>
      <c r="D434" s="3" t="str">
        <f>"普洱学院初等教育"</f>
        <v>普洱学院初等教育</v>
      </c>
      <c r="E434" s="3" t="s">
        <v>10</v>
      </c>
      <c r="F434" s="3" t="s">
        <v>4</v>
      </c>
      <c r="G434" s="3"/>
    </row>
    <row r="435" spans="1:7" x14ac:dyDescent="0.15">
      <c r="A435" s="2">
        <v>433</v>
      </c>
      <c r="B435" s="3" t="str">
        <f>"尹会琴"</f>
        <v>尹会琴</v>
      </c>
      <c r="C435" s="3" t="str">
        <f t="shared" si="66"/>
        <v xml:space="preserve">女        </v>
      </c>
      <c r="D435" s="3" t="str">
        <f>"河池学院旅游管理"</f>
        <v>河池学院旅游管理</v>
      </c>
      <c r="E435" s="3" t="str">
        <f>"本科"</f>
        <v>本科</v>
      </c>
      <c r="F435" s="3" t="s">
        <v>4</v>
      </c>
      <c r="G435" s="3"/>
    </row>
    <row r="436" spans="1:7" x14ac:dyDescent="0.15">
      <c r="A436" s="2">
        <v>434</v>
      </c>
      <c r="B436" s="3" t="str">
        <f>"牛水兵"</f>
        <v>牛水兵</v>
      </c>
      <c r="C436" s="3" t="str">
        <f>"男        "</f>
        <v xml:space="preserve">男        </v>
      </c>
      <c r="D436" s="3" t="str">
        <f>"德宏师范高等专科学校语文教育"</f>
        <v>德宏师范高等专科学校语文教育</v>
      </c>
      <c r="E436" s="3" t="s">
        <v>10</v>
      </c>
      <c r="F436" s="3" t="s">
        <v>4</v>
      </c>
      <c r="G436" s="3"/>
    </row>
    <row r="437" spans="1:7" x14ac:dyDescent="0.15">
      <c r="A437" s="2">
        <v>435</v>
      </c>
      <c r="B437" s="3" t="str">
        <f>"岑红波"</f>
        <v>岑红波</v>
      </c>
      <c r="C437" s="3" t="str">
        <f t="shared" ref="C437:C444" si="69">"女        "</f>
        <v xml:space="preserve">女        </v>
      </c>
      <c r="D437" s="3" t="str">
        <f>"广西师范大学小学教育"</f>
        <v>广西师范大学小学教育</v>
      </c>
      <c r="E437" s="3" t="s">
        <v>10</v>
      </c>
      <c r="F437" s="3" t="s">
        <v>4</v>
      </c>
      <c r="G437" s="3"/>
    </row>
    <row r="438" spans="1:7" x14ac:dyDescent="0.15">
      <c r="A438" s="2">
        <v>436</v>
      </c>
      <c r="B438" s="3" t="str">
        <f>"赵见"</f>
        <v>赵见</v>
      </c>
      <c r="C438" s="3" t="str">
        <f t="shared" si="69"/>
        <v xml:space="preserve">女        </v>
      </c>
      <c r="D438" s="3" t="str">
        <f>"玉溪师范学院法学"</f>
        <v>玉溪师范学院法学</v>
      </c>
      <c r="E438" s="3" t="str">
        <f t="shared" ref="E438:E439" si="70">"本科"</f>
        <v>本科</v>
      </c>
      <c r="F438" s="3" t="s">
        <v>4</v>
      </c>
      <c r="G438" s="3"/>
    </row>
    <row r="439" spans="1:7" x14ac:dyDescent="0.15">
      <c r="A439" s="2">
        <v>437</v>
      </c>
      <c r="B439" s="3" t="str">
        <f>"兰玉念"</f>
        <v>兰玉念</v>
      </c>
      <c r="C439" s="3" t="str">
        <f t="shared" si="69"/>
        <v xml:space="preserve">女        </v>
      </c>
      <c r="D439" s="3" t="str">
        <f>"广西民族师范学院环境设计"</f>
        <v>广西民族师范学院环境设计</v>
      </c>
      <c r="E439" s="3" t="str">
        <f t="shared" si="70"/>
        <v>本科</v>
      </c>
      <c r="F439" s="3" t="s">
        <v>5</v>
      </c>
      <c r="G439" s="3"/>
    </row>
    <row r="440" spans="1:7" x14ac:dyDescent="0.15">
      <c r="A440" s="2">
        <v>438</v>
      </c>
      <c r="B440" s="3" t="str">
        <f>"岑爱梅"</f>
        <v>岑爱梅</v>
      </c>
      <c r="C440" s="3" t="str">
        <f t="shared" si="69"/>
        <v xml:space="preserve">女        </v>
      </c>
      <c r="D440" s="3" t="str">
        <f>"广西教育学院汉语"</f>
        <v>广西教育学院汉语</v>
      </c>
      <c r="E440" s="3" t="s">
        <v>10</v>
      </c>
      <c r="F440" s="3" t="s">
        <v>4</v>
      </c>
      <c r="G440" s="3"/>
    </row>
    <row r="441" spans="1:7" x14ac:dyDescent="0.15">
      <c r="A441" s="2">
        <v>439</v>
      </c>
      <c r="B441" s="3" t="str">
        <f>"何美花"</f>
        <v>何美花</v>
      </c>
      <c r="C441" s="3" t="str">
        <f t="shared" si="69"/>
        <v xml:space="preserve">女        </v>
      </c>
      <c r="D441" s="3" t="str">
        <f>"广西民族师范学院汉语言文学"</f>
        <v>广西民族师范学院汉语言文学</v>
      </c>
      <c r="E441" s="3" t="str">
        <f t="shared" ref="E441:E444" si="71">"本科"</f>
        <v>本科</v>
      </c>
      <c r="F441" s="3" t="s">
        <v>4</v>
      </c>
      <c r="G441" s="3"/>
    </row>
    <row r="442" spans="1:7" x14ac:dyDescent="0.15">
      <c r="A442" s="2">
        <v>440</v>
      </c>
      <c r="B442" s="3" t="str">
        <f>"卢荣娇"</f>
        <v>卢荣娇</v>
      </c>
      <c r="C442" s="3" t="str">
        <f t="shared" si="69"/>
        <v xml:space="preserve">女        </v>
      </c>
      <c r="D442" s="3" t="str">
        <f>"贵阳学院生物工程"</f>
        <v>贵阳学院生物工程</v>
      </c>
      <c r="E442" s="3" t="str">
        <f t="shared" si="71"/>
        <v>本科</v>
      </c>
      <c r="F442" s="3" t="s">
        <v>5</v>
      </c>
      <c r="G442" s="3"/>
    </row>
    <row r="443" spans="1:7" x14ac:dyDescent="0.15">
      <c r="A443" s="2">
        <v>441</v>
      </c>
      <c r="B443" s="3" t="str">
        <f>"岑桂娟"</f>
        <v>岑桂娟</v>
      </c>
      <c r="C443" s="3" t="str">
        <f t="shared" si="69"/>
        <v xml:space="preserve">女        </v>
      </c>
      <c r="D443" s="3" t="str">
        <f>"广西民族师范学院汉语言文学"</f>
        <v>广西民族师范学院汉语言文学</v>
      </c>
      <c r="E443" s="3" t="str">
        <f t="shared" si="71"/>
        <v>本科</v>
      </c>
      <c r="F443" s="3" t="s">
        <v>4</v>
      </c>
      <c r="G443" s="3"/>
    </row>
    <row r="444" spans="1:7" x14ac:dyDescent="0.15">
      <c r="A444" s="2">
        <v>442</v>
      </c>
      <c r="B444" s="3" t="str">
        <f>"王美珍"</f>
        <v>王美珍</v>
      </c>
      <c r="C444" s="3" t="str">
        <f t="shared" si="69"/>
        <v xml:space="preserve">女        </v>
      </c>
      <c r="D444" s="3" t="str">
        <f>"广西民族大学应用心理学"</f>
        <v>广西民族大学应用心理学</v>
      </c>
      <c r="E444" s="3" t="str">
        <f t="shared" si="71"/>
        <v>本科</v>
      </c>
      <c r="F444" s="3" t="s">
        <v>4</v>
      </c>
      <c r="G444" s="3"/>
    </row>
    <row r="445" spans="1:7" x14ac:dyDescent="0.15">
      <c r="A445" s="2">
        <v>443</v>
      </c>
      <c r="B445" s="3" t="str">
        <f>"孙林飞"</f>
        <v>孙林飞</v>
      </c>
      <c r="C445" s="3" t="str">
        <f>"男        "</f>
        <v xml:space="preserve">男        </v>
      </c>
      <c r="D445" s="3" t="str">
        <f>"德宏师范高等专科学校数学教育"</f>
        <v>德宏师范高等专科学校数学教育</v>
      </c>
      <c r="E445" s="3" t="s">
        <v>10</v>
      </c>
      <c r="F445" s="3" t="s">
        <v>5</v>
      </c>
      <c r="G445" s="3"/>
    </row>
    <row r="446" spans="1:7" x14ac:dyDescent="0.15">
      <c r="A446" s="2">
        <v>444</v>
      </c>
      <c r="B446" s="3" t="str">
        <f>"谭艳金"</f>
        <v>谭艳金</v>
      </c>
      <c r="C446" s="3" t="str">
        <f>"女        "</f>
        <v xml:space="preserve">女        </v>
      </c>
      <c r="D446" s="3" t="str">
        <f>"钦州学院数学与应用数学师范教育方向"</f>
        <v>钦州学院数学与应用数学师范教育方向</v>
      </c>
      <c r="E446" s="3" t="str">
        <f t="shared" ref="E446:E448" si="72">"本科"</f>
        <v>本科</v>
      </c>
      <c r="F446" s="3" t="s">
        <v>5</v>
      </c>
      <c r="G446" s="3"/>
    </row>
    <row r="447" spans="1:7" x14ac:dyDescent="0.15">
      <c r="A447" s="2">
        <v>445</v>
      </c>
      <c r="B447" s="3" t="str">
        <f>"何思潮"</f>
        <v>何思潮</v>
      </c>
      <c r="C447" s="3" t="str">
        <f>"女        "</f>
        <v xml:space="preserve">女        </v>
      </c>
      <c r="D447" s="3" t="str">
        <f>"桂林理工大学博文管理学院财务管理"</f>
        <v>桂林理工大学博文管理学院财务管理</v>
      </c>
      <c r="E447" s="3" t="str">
        <f t="shared" si="72"/>
        <v>本科</v>
      </c>
      <c r="F447" s="3" t="s">
        <v>4</v>
      </c>
      <c r="G447" s="3"/>
    </row>
    <row r="448" spans="1:7" x14ac:dyDescent="0.15">
      <c r="A448" s="2">
        <v>446</v>
      </c>
      <c r="B448" s="3" t="str">
        <f>"欧阳月妹"</f>
        <v>欧阳月妹</v>
      </c>
      <c r="C448" s="3" t="str">
        <f>"女        "</f>
        <v xml:space="preserve">女        </v>
      </c>
      <c r="D448" s="3" t="str">
        <f>"广西大学行政管理"</f>
        <v>广西大学行政管理</v>
      </c>
      <c r="E448" s="3" t="str">
        <f t="shared" si="72"/>
        <v>本科</v>
      </c>
      <c r="F448" s="3" t="s">
        <v>4</v>
      </c>
      <c r="G448" s="3"/>
    </row>
    <row r="449" spans="1:7" x14ac:dyDescent="0.15">
      <c r="A449" s="2">
        <v>447</v>
      </c>
      <c r="B449" s="3" t="str">
        <f>"马松"</f>
        <v>马松</v>
      </c>
      <c r="C449" s="3" t="str">
        <f>"男        "</f>
        <v xml:space="preserve">男        </v>
      </c>
      <c r="D449" s="3" t="str">
        <f>"锦州师范高等专科学校初等教育数学"</f>
        <v>锦州师范高等专科学校初等教育数学</v>
      </c>
      <c r="E449" s="3" t="s">
        <v>10</v>
      </c>
      <c r="F449" s="3" t="s">
        <v>5</v>
      </c>
      <c r="G449" s="3"/>
    </row>
    <row r="450" spans="1:7" x14ac:dyDescent="0.15">
      <c r="A450" s="2">
        <v>448</v>
      </c>
      <c r="B450" s="3" t="str">
        <f>"罗婷"</f>
        <v>罗婷</v>
      </c>
      <c r="C450" s="3" t="str">
        <f>"女        "</f>
        <v xml:space="preserve">女        </v>
      </c>
      <c r="D450" s="3" t="str">
        <f>"百色学院小学教育"</f>
        <v>百色学院小学教育</v>
      </c>
      <c r="E450" s="3" t="s">
        <v>10</v>
      </c>
      <c r="F450" s="3" t="s">
        <v>4</v>
      </c>
      <c r="G450" s="3"/>
    </row>
    <row r="451" spans="1:7" x14ac:dyDescent="0.15">
      <c r="A451" s="2">
        <v>449</v>
      </c>
      <c r="B451" s="3" t="str">
        <f>"段永凤"</f>
        <v>段永凤</v>
      </c>
      <c r="C451" s="3" t="str">
        <f>"女        "</f>
        <v xml:space="preserve">女        </v>
      </c>
      <c r="D451" s="3" t="str">
        <f>"云南师范大学商学院工商管理"</f>
        <v>云南师范大学商学院工商管理</v>
      </c>
      <c r="E451" s="3" t="str">
        <f t="shared" ref="E451:E452" si="73">"本科"</f>
        <v>本科</v>
      </c>
      <c r="F451" s="3" t="s">
        <v>5</v>
      </c>
      <c r="G451" s="3"/>
    </row>
    <row r="452" spans="1:7" x14ac:dyDescent="0.15">
      <c r="A452" s="2">
        <v>450</v>
      </c>
      <c r="B452" s="3" t="str">
        <f>"刘艳丽"</f>
        <v>刘艳丽</v>
      </c>
      <c r="C452" s="3" t="str">
        <f>"女        "</f>
        <v xml:space="preserve">女        </v>
      </c>
      <c r="D452" s="3" t="str">
        <f>"广西师范学院自动化"</f>
        <v>广西师范学院自动化</v>
      </c>
      <c r="E452" s="3" t="str">
        <f t="shared" si="73"/>
        <v>本科</v>
      </c>
      <c r="F452" s="3" t="s">
        <v>5</v>
      </c>
      <c r="G452" s="3"/>
    </row>
    <row r="453" spans="1:7" x14ac:dyDescent="0.15">
      <c r="A453" s="2">
        <v>451</v>
      </c>
      <c r="B453" s="3" t="str">
        <f>"王海"</f>
        <v>王海</v>
      </c>
      <c r="C453" s="3" t="str">
        <f>"男        "</f>
        <v xml:space="preserve">男        </v>
      </c>
      <c r="D453" s="3" t="str">
        <f>"德宏师范高等专科学校思想政治教育"</f>
        <v>德宏师范高等专科学校思想政治教育</v>
      </c>
      <c r="E453" s="3" t="s">
        <v>10</v>
      </c>
      <c r="F453" s="3" t="s">
        <v>4</v>
      </c>
      <c r="G453" s="3"/>
    </row>
    <row r="454" spans="1:7" x14ac:dyDescent="0.15">
      <c r="A454" s="2">
        <v>452</v>
      </c>
      <c r="B454" s="3" t="str">
        <f>"何芬"</f>
        <v>何芬</v>
      </c>
      <c r="C454" s="3" t="str">
        <f>"女        "</f>
        <v xml:space="preserve">女        </v>
      </c>
      <c r="D454" s="3" t="str">
        <f>"泉州师范学院材料化学"</f>
        <v>泉州师范学院材料化学</v>
      </c>
      <c r="E454" s="3" t="str">
        <f>"本科"</f>
        <v>本科</v>
      </c>
      <c r="F454" s="3" t="s">
        <v>5</v>
      </c>
      <c r="G454" s="3"/>
    </row>
    <row r="455" spans="1:7" x14ac:dyDescent="0.15">
      <c r="A455" s="2">
        <v>453</v>
      </c>
      <c r="B455" s="3" t="str">
        <f>"宰法雨"</f>
        <v>宰法雨</v>
      </c>
      <c r="C455" s="3" t="str">
        <f>"男        "</f>
        <v xml:space="preserve">男        </v>
      </c>
      <c r="D455" s="3" t="str">
        <f>"德宏师范高等专科学校初等教育"</f>
        <v>德宏师范高等专科学校初等教育</v>
      </c>
      <c r="E455" s="3" t="s">
        <v>10</v>
      </c>
      <c r="F455" s="3" t="s">
        <v>5</v>
      </c>
      <c r="G455" s="3"/>
    </row>
    <row r="456" spans="1:7" x14ac:dyDescent="0.15">
      <c r="A456" s="2">
        <v>454</v>
      </c>
      <c r="B456" s="3" t="str">
        <f>"农亚海"</f>
        <v>农亚海</v>
      </c>
      <c r="C456" s="3" t="str">
        <f>"男        "</f>
        <v xml:space="preserve">男        </v>
      </c>
      <c r="D456" s="3" t="str">
        <f>"广西科技师范学院思想政治教育"</f>
        <v>广西科技师范学院思想政治教育</v>
      </c>
      <c r="E456" s="3" t="str">
        <f t="shared" ref="E456:E457" si="74">"本科"</f>
        <v>本科</v>
      </c>
      <c r="F456" s="3" t="s">
        <v>4</v>
      </c>
      <c r="G456" s="3"/>
    </row>
    <row r="457" spans="1:7" x14ac:dyDescent="0.15">
      <c r="A457" s="2">
        <v>455</v>
      </c>
      <c r="B457" s="3" t="str">
        <f>"施福忠"</f>
        <v>施福忠</v>
      </c>
      <c r="C457" s="3" t="str">
        <f>"男        "</f>
        <v xml:space="preserve">男        </v>
      </c>
      <c r="D457" s="3" t="str">
        <f>"文山学院汉语言文学"</f>
        <v>文山学院汉语言文学</v>
      </c>
      <c r="E457" s="3" t="str">
        <f t="shared" si="74"/>
        <v>本科</v>
      </c>
      <c r="F457" s="3" t="s">
        <v>4</v>
      </c>
      <c r="G457" s="3"/>
    </row>
    <row r="458" spans="1:7" x14ac:dyDescent="0.15">
      <c r="A458" s="2">
        <v>456</v>
      </c>
      <c r="B458" s="3" t="str">
        <f>"陆言矿"</f>
        <v>陆言矿</v>
      </c>
      <c r="C458" s="3" t="str">
        <f>"男        "</f>
        <v xml:space="preserve">男        </v>
      </c>
      <c r="D458" s="3" t="str">
        <f>"桂林师范高等专科学校物理教育"</f>
        <v>桂林师范高等专科学校物理教育</v>
      </c>
      <c r="E458" s="3" t="s">
        <v>10</v>
      </c>
      <c r="F458" s="3" t="s">
        <v>5</v>
      </c>
      <c r="G458" s="3"/>
    </row>
    <row r="459" spans="1:7" x14ac:dyDescent="0.15">
      <c r="A459" s="2">
        <v>457</v>
      </c>
      <c r="B459" s="3" t="str">
        <f>"黄凤迷"</f>
        <v>黄凤迷</v>
      </c>
      <c r="C459" s="3" t="str">
        <f>"女        "</f>
        <v xml:space="preserve">女        </v>
      </c>
      <c r="D459" s="3" t="str">
        <f>"广西教育学院思想政治教育"</f>
        <v>广西教育学院思想政治教育</v>
      </c>
      <c r="E459" s="3" t="s">
        <v>10</v>
      </c>
      <c r="F459" s="3" t="s">
        <v>5</v>
      </c>
      <c r="G459" s="3"/>
    </row>
    <row r="460" spans="1:7" x14ac:dyDescent="0.15">
      <c r="A460" s="2">
        <v>458</v>
      </c>
      <c r="B460" s="3" t="str">
        <f>"刘珊珊"</f>
        <v>刘珊珊</v>
      </c>
      <c r="C460" s="3" t="str">
        <f>"女        "</f>
        <v xml:space="preserve">女        </v>
      </c>
      <c r="D460" s="3" t="str">
        <f>"文山学院小学教育"</f>
        <v>文山学院小学教育</v>
      </c>
      <c r="E460" s="3" t="str">
        <f>"本科"</f>
        <v>本科</v>
      </c>
      <c r="F460" s="3" t="s">
        <v>5</v>
      </c>
      <c r="G460" s="3"/>
    </row>
    <row r="461" spans="1:7" x14ac:dyDescent="0.15">
      <c r="A461" s="2">
        <v>459</v>
      </c>
      <c r="B461" s="3" t="str">
        <f>"宋天秀"</f>
        <v>宋天秀</v>
      </c>
      <c r="C461" s="3" t="str">
        <f>"女        "</f>
        <v xml:space="preserve">女        </v>
      </c>
      <c r="D461" s="3" t="str">
        <f>"锦州师范高等专科学校语文教育"</f>
        <v>锦州师范高等专科学校语文教育</v>
      </c>
      <c r="E461" s="3" t="s">
        <v>10</v>
      </c>
      <c r="F461" s="3" t="s">
        <v>4</v>
      </c>
      <c r="G461" s="3"/>
    </row>
    <row r="462" spans="1:7" x14ac:dyDescent="0.15">
      <c r="A462" s="2">
        <v>460</v>
      </c>
      <c r="B462" s="3" t="str">
        <f>"陈秋霞"</f>
        <v>陈秋霞</v>
      </c>
      <c r="C462" s="3" t="str">
        <f>"女        "</f>
        <v xml:space="preserve">女        </v>
      </c>
      <c r="D462" s="3" t="str">
        <f>"广西幼儿师范高等专科学校综合理科教育"</f>
        <v>广西幼儿师范高等专科学校综合理科教育</v>
      </c>
      <c r="E462" s="3" t="s">
        <v>10</v>
      </c>
      <c r="F462" s="3" t="s">
        <v>5</v>
      </c>
      <c r="G462" s="3"/>
    </row>
    <row r="463" spans="1:7" x14ac:dyDescent="0.15">
      <c r="A463" s="2">
        <v>461</v>
      </c>
      <c r="B463" s="3" t="str">
        <f>"张正本"</f>
        <v>张正本</v>
      </c>
      <c r="C463" s="3" t="str">
        <f>"男        "</f>
        <v xml:space="preserve">男        </v>
      </c>
      <c r="D463" s="3" t="str">
        <f>"广西师范学院师园学院汉语言文学"</f>
        <v>广西师范学院师园学院汉语言文学</v>
      </c>
      <c r="E463" s="3" t="str">
        <f t="shared" ref="E463:E464" si="75">"本科"</f>
        <v>本科</v>
      </c>
      <c r="F463" s="3" t="s">
        <v>4</v>
      </c>
      <c r="G463" s="3"/>
    </row>
    <row r="464" spans="1:7" x14ac:dyDescent="0.15">
      <c r="A464" s="2">
        <v>462</v>
      </c>
      <c r="B464" s="3" t="str">
        <f>"李朝颖"</f>
        <v>李朝颖</v>
      </c>
      <c r="C464" s="3" t="str">
        <f>"女        "</f>
        <v xml:space="preserve">女        </v>
      </c>
      <c r="D464" s="3" t="str">
        <f>"云南大学旅游文化学院会计学"</f>
        <v>云南大学旅游文化学院会计学</v>
      </c>
      <c r="E464" s="3" t="str">
        <f t="shared" si="75"/>
        <v>本科</v>
      </c>
      <c r="F464" s="3" t="s">
        <v>4</v>
      </c>
      <c r="G464" s="3"/>
    </row>
    <row r="465" spans="1:7" x14ac:dyDescent="0.15">
      <c r="A465" s="2">
        <v>463</v>
      </c>
      <c r="B465" s="3" t="str">
        <f>"覃景豪"</f>
        <v>覃景豪</v>
      </c>
      <c r="C465" s="3" t="str">
        <f>"男        "</f>
        <v xml:space="preserve">男        </v>
      </c>
      <c r="D465" s="3" t="str">
        <f>"广西幼儿师范高等专科学校学前教育"</f>
        <v>广西幼儿师范高等专科学校学前教育</v>
      </c>
      <c r="E465" s="3" t="s">
        <v>10</v>
      </c>
      <c r="F465" s="3" t="s">
        <v>4</v>
      </c>
      <c r="G465" s="3"/>
    </row>
    <row r="466" spans="1:7" x14ac:dyDescent="0.15">
      <c r="A466" s="2">
        <v>464</v>
      </c>
      <c r="B466" s="3" t="str">
        <f>"张玲玲"</f>
        <v>张玲玲</v>
      </c>
      <c r="C466" s="3" t="str">
        <f>"女        "</f>
        <v xml:space="preserve">女        </v>
      </c>
      <c r="D466" s="3" t="str">
        <f>"临沧师范高等专科学校语文教育"</f>
        <v>临沧师范高等专科学校语文教育</v>
      </c>
      <c r="E466" s="3" t="s">
        <v>10</v>
      </c>
      <c r="F466" s="3" t="s">
        <v>4</v>
      </c>
      <c r="G466" s="3"/>
    </row>
    <row r="467" spans="1:7" x14ac:dyDescent="0.15">
      <c r="A467" s="2">
        <v>465</v>
      </c>
      <c r="B467" s="3" t="str">
        <f>"彭杨莎"</f>
        <v>彭杨莎</v>
      </c>
      <c r="C467" s="3" t="str">
        <f>"女        "</f>
        <v xml:space="preserve">女        </v>
      </c>
      <c r="D467" s="3" t="str">
        <f>"贵州省遵义师范学院植物科学与技术"</f>
        <v>贵州省遵义师范学院植物科学与技术</v>
      </c>
      <c r="E467" s="3" t="str">
        <f t="shared" ref="E467:E469" si="76">"本科"</f>
        <v>本科</v>
      </c>
      <c r="F467" s="3" t="s">
        <v>5</v>
      </c>
      <c r="G467" s="3"/>
    </row>
    <row r="468" spans="1:7" x14ac:dyDescent="0.15">
      <c r="A468" s="2">
        <v>466</v>
      </c>
      <c r="B468" s="3" t="str">
        <f>"盘红艳"</f>
        <v>盘红艳</v>
      </c>
      <c r="C468" s="3" t="str">
        <f>"女        "</f>
        <v xml:space="preserve">女        </v>
      </c>
      <c r="D468" s="3" t="str">
        <f>"云南民族大学教育技术学"</f>
        <v>云南民族大学教育技术学</v>
      </c>
      <c r="E468" s="3" t="str">
        <f t="shared" si="76"/>
        <v>本科</v>
      </c>
      <c r="F468" s="3" t="s">
        <v>9</v>
      </c>
      <c r="G468" s="3"/>
    </row>
    <row r="469" spans="1:7" x14ac:dyDescent="0.15">
      <c r="A469" s="2">
        <v>467</v>
      </c>
      <c r="B469" s="3" t="str">
        <f>"储兴宏"</f>
        <v>储兴宏</v>
      </c>
      <c r="C469" s="3" t="str">
        <f>"男        "</f>
        <v xml:space="preserve">男        </v>
      </c>
      <c r="D469" s="3" t="str">
        <f>"云南农业大学农业建筑环境与能源工程"</f>
        <v>云南农业大学农业建筑环境与能源工程</v>
      </c>
      <c r="E469" s="3" t="str">
        <f t="shared" si="76"/>
        <v>本科</v>
      </c>
      <c r="F469" s="3" t="s">
        <v>5</v>
      </c>
      <c r="G469" s="3"/>
    </row>
    <row r="470" spans="1:7" x14ac:dyDescent="0.15">
      <c r="A470" s="2">
        <v>468</v>
      </c>
      <c r="B470" s="3" t="str">
        <f>"武东晓"</f>
        <v>武东晓</v>
      </c>
      <c r="C470" s="3" t="str">
        <f>"男        "</f>
        <v xml:space="preserve">男        </v>
      </c>
      <c r="D470" s="3" t="str">
        <f>"临沧师范高等专科学校初等教育理科"</f>
        <v>临沧师范高等专科学校初等教育理科</v>
      </c>
      <c r="E470" s="3" t="s">
        <v>10</v>
      </c>
      <c r="F470" s="3" t="s">
        <v>5</v>
      </c>
      <c r="G470" s="3"/>
    </row>
    <row r="471" spans="1:7" x14ac:dyDescent="0.15">
      <c r="A471" s="2">
        <v>469</v>
      </c>
      <c r="B471" s="3" t="str">
        <f>"袁文波"</f>
        <v>袁文波</v>
      </c>
      <c r="C471" s="3" t="str">
        <f>"男        "</f>
        <v xml:space="preserve">男        </v>
      </c>
      <c r="D471" s="3" t="str">
        <f>"德宏师范高等专科学校初等教育文"</f>
        <v>德宏师范高等专科学校初等教育文</v>
      </c>
      <c r="E471" s="3" t="s">
        <v>10</v>
      </c>
      <c r="F471" s="3" t="s">
        <v>4</v>
      </c>
      <c r="G471" s="3"/>
    </row>
    <row r="472" spans="1:7" x14ac:dyDescent="0.15">
      <c r="A472" s="2">
        <v>470</v>
      </c>
      <c r="B472" s="3" t="str">
        <f>"方丽娟"</f>
        <v>方丽娟</v>
      </c>
      <c r="C472" s="3" t="str">
        <f>"女        "</f>
        <v xml:space="preserve">女        </v>
      </c>
      <c r="D472" s="3" t="str">
        <f>"曲靖师范学院工商管理"</f>
        <v>曲靖师范学院工商管理</v>
      </c>
      <c r="E472" s="3" t="str">
        <f t="shared" ref="E472:E478" si="77">"本科"</f>
        <v>本科</v>
      </c>
      <c r="F472" s="3" t="s">
        <v>4</v>
      </c>
      <c r="G472" s="3"/>
    </row>
    <row r="473" spans="1:7" x14ac:dyDescent="0.15">
      <c r="A473" s="2">
        <v>471</v>
      </c>
      <c r="B473" s="3" t="str">
        <f>"沙桂林"</f>
        <v>沙桂林</v>
      </c>
      <c r="C473" s="3" t="str">
        <f>"男        "</f>
        <v xml:space="preserve">男        </v>
      </c>
      <c r="D473" s="3" t="str">
        <f>"云南民族大学数学与应用数学"</f>
        <v>云南民族大学数学与应用数学</v>
      </c>
      <c r="E473" s="3" t="str">
        <f t="shared" si="77"/>
        <v>本科</v>
      </c>
      <c r="F473" s="3" t="s">
        <v>5</v>
      </c>
      <c r="G473" s="3"/>
    </row>
    <row r="474" spans="1:7" x14ac:dyDescent="0.15">
      <c r="A474" s="2">
        <v>472</v>
      </c>
      <c r="B474" s="3" t="str">
        <f>"李月芳"</f>
        <v>李月芳</v>
      </c>
      <c r="C474" s="3" t="str">
        <f>"女        "</f>
        <v xml:space="preserve">女        </v>
      </c>
      <c r="D474" s="3" t="str">
        <f>"钦州学院油气储运工程"</f>
        <v>钦州学院油气储运工程</v>
      </c>
      <c r="E474" s="3" t="str">
        <f t="shared" si="77"/>
        <v>本科</v>
      </c>
      <c r="F474" s="3" t="s">
        <v>5</v>
      </c>
      <c r="G474" s="3"/>
    </row>
    <row r="475" spans="1:7" x14ac:dyDescent="0.15">
      <c r="A475" s="2">
        <v>473</v>
      </c>
      <c r="B475" s="3" t="str">
        <f>"邓忠江"</f>
        <v>邓忠江</v>
      </c>
      <c r="C475" s="3" t="str">
        <f>"男        "</f>
        <v xml:space="preserve">男        </v>
      </c>
      <c r="D475" s="3" t="str">
        <f>"百色学院计算机科学与技术"</f>
        <v>百色学院计算机科学与技术</v>
      </c>
      <c r="E475" s="3" t="str">
        <f t="shared" si="77"/>
        <v>本科</v>
      </c>
      <c r="F475" s="3" t="s">
        <v>9</v>
      </c>
      <c r="G475" s="3"/>
    </row>
    <row r="476" spans="1:7" x14ac:dyDescent="0.15">
      <c r="A476" s="2">
        <v>474</v>
      </c>
      <c r="B476" s="3" t="str">
        <f>"韦彩葵"</f>
        <v>韦彩葵</v>
      </c>
      <c r="C476" s="3" t="str">
        <f>"女        "</f>
        <v xml:space="preserve">女        </v>
      </c>
      <c r="D476" s="3" t="str">
        <f>"广西师范大学漓江学院汉语言文学"</f>
        <v>广西师范大学漓江学院汉语言文学</v>
      </c>
      <c r="E476" s="3" t="str">
        <f t="shared" si="77"/>
        <v>本科</v>
      </c>
      <c r="F476" s="3" t="s">
        <v>4</v>
      </c>
      <c r="G476" s="3"/>
    </row>
    <row r="477" spans="1:7" x14ac:dyDescent="0.15">
      <c r="A477" s="2">
        <v>475</v>
      </c>
      <c r="B477" s="3" t="str">
        <f>"赵伟"</f>
        <v>赵伟</v>
      </c>
      <c r="C477" s="3" t="str">
        <f>"男        "</f>
        <v xml:space="preserve">男        </v>
      </c>
      <c r="D477" s="3" t="str">
        <f>"四川理工学院体育教育"</f>
        <v>四川理工学院体育教育</v>
      </c>
      <c r="E477" s="3" t="str">
        <f t="shared" si="77"/>
        <v>本科</v>
      </c>
      <c r="F477" s="3" t="s">
        <v>4</v>
      </c>
      <c r="G477" s="3"/>
    </row>
    <row r="478" spans="1:7" x14ac:dyDescent="0.15">
      <c r="A478" s="2">
        <v>476</v>
      </c>
      <c r="B478" s="3" t="str">
        <f>"刘春艳"</f>
        <v>刘春艳</v>
      </c>
      <c r="C478" s="3" t="str">
        <f>"女        "</f>
        <v xml:space="preserve">女        </v>
      </c>
      <c r="D478" s="3" t="str">
        <f>"云南师范大学汉语言文学"</f>
        <v>云南师范大学汉语言文学</v>
      </c>
      <c r="E478" s="3" t="str">
        <f t="shared" si="77"/>
        <v>本科</v>
      </c>
      <c r="F478" s="3" t="s">
        <v>4</v>
      </c>
      <c r="G478" s="3"/>
    </row>
    <row r="479" spans="1:7" x14ac:dyDescent="0.15">
      <c r="A479" s="2">
        <v>477</v>
      </c>
      <c r="B479" s="3" t="str">
        <f>"杨昌丽"</f>
        <v>杨昌丽</v>
      </c>
      <c r="C479" s="3" t="str">
        <f>"女        "</f>
        <v xml:space="preserve">女        </v>
      </c>
      <c r="D479" s="3" t="str">
        <f>"滇西科技师范学院初等教育"</f>
        <v>滇西科技师范学院初等教育</v>
      </c>
      <c r="E479" s="3" t="s">
        <v>10</v>
      </c>
      <c r="F479" s="3" t="s">
        <v>4</v>
      </c>
      <c r="G479" s="3"/>
    </row>
    <row r="480" spans="1:7" x14ac:dyDescent="0.15">
      <c r="A480" s="2">
        <v>478</v>
      </c>
      <c r="B480" s="3" t="str">
        <f>"黄晓晴"</f>
        <v>黄晓晴</v>
      </c>
      <c r="C480" s="3" t="str">
        <f>"女        "</f>
        <v xml:space="preserve">女        </v>
      </c>
      <c r="D480" s="3" t="str">
        <f>"南宁地区教育学院小学语文教育"</f>
        <v>南宁地区教育学院小学语文教育</v>
      </c>
      <c r="E480" s="3" t="s">
        <v>10</v>
      </c>
      <c r="F480" s="3" t="s">
        <v>4</v>
      </c>
      <c r="G480" s="3"/>
    </row>
    <row r="481" spans="1:7" x14ac:dyDescent="0.15">
      <c r="A481" s="2">
        <v>479</v>
      </c>
      <c r="B481" s="3" t="str">
        <f>"王涵钰"</f>
        <v>王涵钰</v>
      </c>
      <c r="C481" s="3" t="str">
        <f>"女        "</f>
        <v xml:space="preserve">女        </v>
      </c>
      <c r="D481" s="3" t="str">
        <f>"云南工商学院会计学"</f>
        <v>云南工商学院会计学</v>
      </c>
      <c r="E481" s="3" t="str">
        <f>"本科"</f>
        <v>本科</v>
      </c>
      <c r="F481" s="3" t="s">
        <v>4</v>
      </c>
      <c r="G481" s="3"/>
    </row>
    <row r="482" spans="1:7" x14ac:dyDescent="0.15">
      <c r="A482" s="2">
        <v>480</v>
      </c>
      <c r="B482" s="3" t="str">
        <f>"吴江胜"</f>
        <v>吴江胜</v>
      </c>
      <c r="C482" s="3" t="str">
        <f>"男        "</f>
        <v xml:space="preserve">男        </v>
      </c>
      <c r="D482" s="3" t="str">
        <f>"临沧师范高等专科学校初等教育"</f>
        <v>临沧师范高等专科学校初等教育</v>
      </c>
      <c r="E482" s="3" t="s">
        <v>10</v>
      </c>
      <c r="F482" s="3" t="s">
        <v>4</v>
      </c>
      <c r="G482" s="3"/>
    </row>
    <row r="483" spans="1:7" x14ac:dyDescent="0.15">
      <c r="A483" s="2">
        <v>481</v>
      </c>
      <c r="B483" s="3" t="str">
        <f>"农秋红"</f>
        <v>农秋红</v>
      </c>
      <c r="C483" s="3" t="str">
        <f>"女        "</f>
        <v xml:space="preserve">女        </v>
      </c>
      <c r="D483" s="3" t="str">
        <f>"广西师范大学法学"</f>
        <v>广西师范大学法学</v>
      </c>
      <c r="E483" s="3" t="str">
        <f t="shared" ref="E483:E484" si="78">"本科"</f>
        <v>本科</v>
      </c>
      <c r="F483" s="3" t="s">
        <v>5</v>
      </c>
      <c r="G483" s="3"/>
    </row>
    <row r="484" spans="1:7" x14ac:dyDescent="0.15">
      <c r="A484" s="2">
        <v>482</v>
      </c>
      <c r="B484" s="3" t="str">
        <f>"蔡春"</f>
        <v>蔡春</v>
      </c>
      <c r="C484" s="3" t="str">
        <f>"女        "</f>
        <v xml:space="preserve">女        </v>
      </c>
      <c r="D484" s="3" t="str">
        <f>"曲靖师范学院信息与计算科学"</f>
        <v>曲靖师范学院信息与计算科学</v>
      </c>
      <c r="E484" s="3" t="str">
        <f t="shared" si="78"/>
        <v>本科</v>
      </c>
      <c r="F484" s="3" t="s">
        <v>5</v>
      </c>
      <c r="G484" s="3"/>
    </row>
    <row r="485" spans="1:7" x14ac:dyDescent="0.15">
      <c r="A485" s="2">
        <v>483</v>
      </c>
      <c r="B485" s="3" t="str">
        <f>"黄秀鲜"</f>
        <v>黄秀鲜</v>
      </c>
      <c r="C485" s="3" t="str">
        <f>"女        "</f>
        <v xml:space="preserve">女        </v>
      </c>
      <c r="D485" s="3" t="str">
        <f>"河池学院学前教育"</f>
        <v>河池学院学前教育</v>
      </c>
      <c r="E485" s="3" t="s">
        <v>10</v>
      </c>
      <c r="F485" s="3" t="s">
        <v>4</v>
      </c>
      <c r="G485" s="3"/>
    </row>
    <row r="486" spans="1:7" x14ac:dyDescent="0.15">
      <c r="A486" s="2">
        <v>484</v>
      </c>
      <c r="B486" s="3" t="str">
        <f>"顾奎"</f>
        <v>顾奎</v>
      </c>
      <c r="C486" s="3" t="str">
        <f>"女        "</f>
        <v xml:space="preserve">女        </v>
      </c>
      <c r="D486" s="3" t="str">
        <f>"曲靖师范学院小学教育"</f>
        <v>曲靖师范学院小学教育</v>
      </c>
      <c r="E486" s="3" t="str">
        <f t="shared" ref="E486:E487" si="79">"本科"</f>
        <v>本科</v>
      </c>
      <c r="F486" s="3" t="s">
        <v>5</v>
      </c>
      <c r="G486" s="3"/>
    </row>
    <row r="487" spans="1:7" x14ac:dyDescent="0.15">
      <c r="A487" s="2">
        <v>485</v>
      </c>
      <c r="B487" s="3" t="str">
        <f>"陶连红"</f>
        <v>陶连红</v>
      </c>
      <c r="C487" s="3" t="str">
        <f>"男        "</f>
        <v xml:space="preserve">男        </v>
      </c>
      <c r="D487" s="3" t="str">
        <f>"云南民族大学中国少数民族语言文学"</f>
        <v>云南民族大学中国少数民族语言文学</v>
      </c>
      <c r="E487" s="3" t="str">
        <f t="shared" si="79"/>
        <v>本科</v>
      </c>
      <c r="F487" s="3" t="s">
        <v>4</v>
      </c>
      <c r="G487" s="3"/>
    </row>
    <row r="488" spans="1:7" x14ac:dyDescent="0.15">
      <c r="A488" s="2">
        <v>486</v>
      </c>
      <c r="B488" s="3" t="str">
        <f>"周丹迪"</f>
        <v>周丹迪</v>
      </c>
      <c r="C488" s="3" t="str">
        <f>"女        "</f>
        <v xml:space="preserve">女        </v>
      </c>
      <c r="D488" s="3" t="str">
        <f>"德宏师范高等专科学校数学教育"</f>
        <v>德宏师范高等专科学校数学教育</v>
      </c>
      <c r="E488" s="3" t="s">
        <v>10</v>
      </c>
      <c r="F488" s="3" t="s">
        <v>5</v>
      </c>
      <c r="G488" s="3"/>
    </row>
    <row r="489" spans="1:7" x14ac:dyDescent="0.15">
      <c r="A489" s="2">
        <v>487</v>
      </c>
      <c r="B489" s="3" t="str">
        <f>"黄琦丽"</f>
        <v>黄琦丽</v>
      </c>
      <c r="C489" s="3" t="str">
        <f>"女        "</f>
        <v xml:space="preserve">女        </v>
      </c>
      <c r="D489" s="3" t="str">
        <f>"百色学院汉语"</f>
        <v>百色学院汉语</v>
      </c>
      <c r="E489" s="3" t="s">
        <v>10</v>
      </c>
      <c r="F489" s="3" t="s">
        <v>4</v>
      </c>
      <c r="G489" s="3"/>
    </row>
    <row r="490" spans="1:7" x14ac:dyDescent="0.15">
      <c r="A490" s="2">
        <v>488</v>
      </c>
      <c r="B490" s="3" t="str">
        <f>"胡周云"</f>
        <v>胡周云</v>
      </c>
      <c r="C490" s="3" t="str">
        <f>"男        "</f>
        <v xml:space="preserve">男        </v>
      </c>
      <c r="D490" s="3" t="str">
        <f>"保山学院数学教育"</f>
        <v>保山学院数学教育</v>
      </c>
      <c r="E490" s="3" t="s">
        <v>10</v>
      </c>
      <c r="F490" s="3" t="s">
        <v>5</v>
      </c>
      <c r="G490" s="3"/>
    </row>
    <row r="491" spans="1:7" x14ac:dyDescent="0.15">
      <c r="A491" s="2">
        <v>489</v>
      </c>
      <c r="B491" s="3" t="str">
        <f>"陶状艳"</f>
        <v>陶状艳</v>
      </c>
      <c r="C491" s="3" t="str">
        <f t="shared" ref="C491:C497" si="80">"女        "</f>
        <v xml:space="preserve">女        </v>
      </c>
      <c r="D491" s="3" t="str">
        <f>"德宏师范高等专科学校体育教育"</f>
        <v>德宏师范高等专科学校体育教育</v>
      </c>
      <c r="E491" s="3" t="s">
        <v>10</v>
      </c>
      <c r="F491" s="3" t="s">
        <v>7</v>
      </c>
      <c r="G491" s="3"/>
    </row>
    <row r="492" spans="1:7" x14ac:dyDescent="0.15">
      <c r="A492" s="2">
        <v>490</v>
      </c>
      <c r="B492" s="3" t="str">
        <f>"覃丽坤"</f>
        <v>覃丽坤</v>
      </c>
      <c r="C492" s="3" t="str">
        <f t="shared" si="80"/>
        <v xml:space="preserve">女        </v>
      </c>
      <c r="D492" s="3" t="str">
        <f>"广西师范大学漓江学院工商管理"</f>
        <v>广西师范大学漓江学院工商管理</v>
      </c>
      <c r="E492" s="3" t="str">
        <f>"本科"</f>
        <v>本科</v>
      </c>
      <c r="F492" s="3" t="s">
        <v>5</v>
      </c>
      <c r="G492" s="3"/>
    </row>
    <row r="493" spans="1:7" x14ac:dyDescent="0.15">
      <c r="A493" s="2">
        <v>491</v>
      </c>
      <c r="B493" s="3" t="str">
        <f>"周艳"</f>
        <v>周艳</v>
      </c>
      <c r="C493" s="3" t="str">
        <f t="shared" si="80"/>
        <v xml:space="preserve">女        </v>
      </c>
      <c r="D493" s="3" t="str">
        <f>"德宏师范高等专科学校英语教育"</f>
        <v>德宏师范高等专科学校英语教育</v>
      </c>
      <c r="E493" s="3" t="s">
        <v>10</v>
      </c>
      <c r="F493" s="3" t="s">
        <v>6</v>
      </c>
      <c r="G493" s="3"/>
    </row>
    <row r="494" spans="1:7" x14ac:dyDescent="0.15">
      <c r="A494" s="2">
        <v>492</v>
      </c>
      <c r="B494" s="3" t="str">
        <f>"洪全丽"</f>
        <v>洪全丽</v>
      </c>
      <c r="C494" s="3" t="str">
        <f t="shared" si="80"/>
        <v xml:space="preserve">女        </v>
      </c>
      <c r="D494" s="3" t="str">
        <f>"丽江师范高等专科学校语文教育"</f>
        <v>丽江师范高等专科学校语文教育</v>
      </c>
      <c r="E494" s="3" t="s">
        <v>10</v>
      </c>
      <c r="F494" s="3" t="s">
        <v>4</v>
      </c>
      <c r="G494" s="3"/>
    </row>
    <row r="495" spans="1:7" x14ac:dyDescent="0.15">
      <c r="A495" s="2">
        <v>493</v>
      </c>
      <c r="B495" s="3" t="str">
        <f>"覃盈盈"</f>
        <v>覃盈盈</v>
      </c>
      <c r="C495" s="3" t="str">
        <f t="shared" si="80"/>
        <v xml:space="preserve">女        </v>
      </c>
      <c r="D495" s="3" t="str">
        <f>"广西科技师范学院化学教育"</f>
        <v>广西科技师范学院化学教育</v>
      </c>
      <c r="E495" s="3" t="s">
        <v>10</v>
      </c>
      <c r="F495" s="3" t="s">
        <v>5</v>
      </c>
      <c r="G495" s="3"/>
    </row>
    <row r="496" spans="1:7" x14ac:dyDescent="0.15">
      <c r="A496" s="2">
        <v>494</v>
      </c>
      <c r="B496" s="3" t="str">
        <f>"王新芬"</f>
        <v>王新芬</v>
      </c>
      <c r="C496" s="3" t="str">
        <f t="shared" si="80"/>
        <v xml:space="preserve">女        </v>
      </c>
      <c r="D496" s="3" t="str">
        <f>"滇西科技师范学院语文教育"</f>
        <v>滇西科技师范学院语文教育</v>
      </c>
      <c r="E496" s="3" t="s">
        <v>10</v>
      </c>
      <c r="F496" s="3" t="s">
        <v>4</v>
      </c>
      <c r="G496" s="3"/>
    </row>
    <row r="497" spans="1:7" x14ac:dyDescent="0.15">
      <c r="A497" s="2">
        <v>495</v>
      </c>
      <c r="B497" s="3" t="str">
        <f>"段永艳"</f>
        <v>段永艳</v>
      </c>
      <c r="C497" s="3" t="str">
        <f t="shared" si="80"/>
        <v xml:space="preserve">女        </v>
      </c>
      <c r="D497" s="3" t="str">
        <f>"昆明学院旅游管理"</f>
        <v>昆明学院旅游管理</v>
      </c>
      <c r="E497" s="3" t="str">
        <f>"本科"</f>
        <v>本科</v>
      </c>
      <c r="F497" s="3" t="s">
        <v>4</v>
      </c>
      <c r="G497" s="3"/>
    </row>
    <row r="498" spans="1:7" x14ac:dyDescent="0.15">
      <c r="A498" s="2">
        <v>496</v>
      </c>
      <c r="B498" s="3" t="str">
        <f>"梁应剑"</f>
        <v>梁应剑</v>
      </c>
      <c r="C498" s="3" t="str">
        <f>"男        "</f>
        <v xml:space="preserve">男        </v>
      </c>
      <c r="D498" s="3" t="str">
        <f>"德宏师范高等专科学校数学教育"</f>
        <v>德宏师范高等专科学校数学教育</v>
      </c>
      <c r="E498" s="3" t="s">
        <v>10</v>
      </c>
      <c r="F498" s="3" t="s">
        <v>5</v>
      </c>
      <c r="G498" s="3"/>
    </row>
    <row r="499" spans="1:7" x14ac:dyDescent="0.15">
      <c r="A499" s="2">
        <v>497</v>
      </c>
      <c r="B499" s="3" t="str">
        <f>"陈丹"</f>
        <v>陈丹</v>
      </c>
      <c r="C499" s="3" t="str">
        <f>"女        "</f>
        <v xml:space="preserve">女        </v>
      </c>
      <c r="D499" s="3" t="str">
        <f>"滇西科技师范学院数学教育"</f>
        <v>滇西科技师范学院数学教育</v>
      </c>
      <c r="E499" s="3" t="s">
        <v>10</v>
      </c>
      <c r="F499" s="3" t="s">
        <v>5</v>
      </c>
      <c r="G499" s="3"/>
    </row>
    <row r="500" spans="1:7" x14ac:dyDescent="0.15">
      <c r="A500" s="2">
        <v>498</v>
      </c>
      <c r="B500" s="3" t="str">
        <f>"资娴"</f>
        <v>资娴</v>
      </c>
      <c r="C500" s="3" t="str">
        <f>"女        "</f>
        <v xml:space="preserve">女        </v>
      </c>
      <c r="D500" s="3" t="str">
        <f>"曲靖师范学院秘书学"</f>
        <v>曲靖师范学院秘书学</v>
      </c>
      <c r="E500" s="3" t="str">
        <f>"本科"</f>
        <v>本科</v>
      </c>
      <c r="F500" s="3" t="s">
        <v>4</v>
      </c>
      <c r="G500" s="3"/>
    </row>
    <row r="501" spans="1:7" x14ac:dyDescent="0.15">
      <c r="A501" s="2">
        <v>499</v>
      </c>
      <c r="B501" s="3" t="str">
        <f>"阮丽娜"</f>
        <v>阮丽娜</v>
      </c>
      <c r="C501" s="3" t="str">
        <f>"女        "</f>
        <v xml:space="preserve">女        </v>
      </c>
      <c r="D501" s="3" t="str">
        <f>"百色学院综合文科教育"</f>
        <v>百色学院综合文科教育</v>
      </c>
      <c r="E501" s="3" t="s">
        <v>10</v>
      </c>
      <c r="F501" s="3" t="s">
        <v>4</v>
      </c>
      <c r="G501" s="3"/>
    </row>
    <row r="502" spans="1:7" x14ac:dyDescent="0.15">
      <c r="A502" s="2">
        <v>500</v>
      </c>
      <c r="B502" s="3" t="str">
        <f>"阮贵凤"</f>
        <v>阮贵凤</v>
      </c>
      <c r="C502" s="3" t="str">
        <f>"女        "</f>
        <v xml:space="preserve">女        </v>
      </c>
      <c r="D502" s="3" t="str">
        <f>"文山学院初等教育"</f>
        <v>文山学院初等教育</v>
      </c>
      <c r="E502" s="3" t="s">
        <v>10</v>
      </c>
      <c r="F502" s="3" t="s">
        <v>4</v>
      </c>
      <c r="G502" s="3"/>
    </row>
    <row r="503" spans="1:7" x14ac:dyDescent="0.15">
      <c r="A503" s="2">
        <v>501</v>
      </c>
      <c r="B503" s="3" t="str">
        <f>"王胜清"</f>
        <v>王胜清</v>
      </c>
      <c r="C503" s="3" t="str">
        <f>"男        "</f>
        <v xml:space="preserve">男        </v>
      </c>
      <c r="D503" s="3" t="str">
        <f>"文山学院初等教育理科方向"</f>
        <v>文山学院初等教育理科方向</v>
      </c>
      <c r="E503" s="3" t="s">
        <v>10</v>
      </c>
      <c r="F503" s="3" t="s">
        <v>5</v>
      </c>
      <c r="G503" s="3"/>
    </row>
    <row r="504" spans="1:7" x14ac:dyDescent="0.15">
      <c r="A504" s="2">
        <v>502</v>
      </c>
      <c r="B504" s="3" t="str">
        <f>"杨滔"</f>
        <v>杨滔</v>
      </c>
      <c r="C504" s="3" t="str">
        <f>"男        "</f>
        <v xml:space="preserve">男        </v>
      </c>
      <c r="D504" s="3" t="str">
        <f>"德宏师范高等专科学校思想政治教育"</f>
        <v>德宏师范高等专科学校思想政治教育</v>
      </c>
      <c r="E504" s="3" t="s">
        <v>10</v>
      </c>
      <c r="F504" s="3" t="s">
        <v>5</v>
      </c>
      <c r="G504" s="3"/>
    </row>
    <row r="505" spans="1:7" x14ac:dyDescent="0.15">
      <c r="A505" s="2">
        <v>503</v>
      </c>
      <c r="B505" s="3" t="str">
        <f>"罗艳婷"</f>
        <v>罗艳婷</v>
      </c>
      <c r="C505" s="3" t="str">
        <f t="shared" ref="C505:C511" si="81">"女        "</f>
        <v xml:space="preserve">女        </v>
      </c>
      <c r="D505" s="3" t="str">
        <f>"文山学院初等教育理科"</f>
        <v>文山学院初等教育理科</v>
      </c>
      <c r="E505" s="3" t="s">
        <v>10</v>
      </c>
      <c r="F505" s="3" t="s">
        <v>5</v>
      </c>
      <c r="G505" s="3"/>
    </row>
    <row r="506" spans="1:7" x14ac:dyDescent="0.15">
      <c r="A506" s="2">
        <v>504</v>
      </c>
      <c r="B506" s="3" t="str">
        <f>"胡冰莲"</f>
        <v>胡冰莲</v>
      </c>
      <c r="C506" s="3" t="str">
        <f t="shared" si="81"/>
        <v xml:space="preserve">女        </v>
      </c>
      <c r="D506" s="3" t="str">
        <f>"河池学院统计学"</f>
        <v>河池学院统计学</v>
      </c>
      <c r="E506" s="3" t="str">
        <f>"本科"</f>
        <v>本科</v>
      </c>
      <c r="F506" s="3" t="s">
        <v>5</v>
      </c>
      <c r="G506" s="3"/>
    </row>
    <row r="507" spans="1:7" x14ac:dyDescent="0.15">
      <c r="A507" s="2">
        <v>505</v>
      </c>
      <c r="B507" s="3" t="str">
        <f>"杨冬华"</f>
        <v>杨冬华</v>
      </c>
      <c r="C507" s="3" t="str">
        <f t="shared" si="81"/>
        <v xml:space="preserve">女        </v>
      </c>
      <c r="D507" s="3" t="str">
        <f>"河池学院学前教育"</f>
        <v>河池学院学前教育</v>
      </c>
      <c r="E507" s="3" t="s">
        <v>10</v>
      </c>
      <c r="F507" s="3" t="s">
        <v>5</v>
      </c>
      <c r="G507" s="3"/>
    </row>
    <row r="508" spans="1:7" x14ac:dyDescent="0.15">
      <c r="A508" s="2">
        <v>506</v>
      </c>
      <c r="B508" s="3" t="str">
        <f>"罗雪婷"</f>
        <v>罗雪婷</v>
      </c>
      <c r="C508" s="3" t="str">
        <f t="shared" si="81"/>
        <v xml:space="preserve">女        </v>
      </c>
      <c r="D508" s="3" t="str">
        <f>"广西大学食品科学与工程"</f>
        <v>广西大学食品科学与工程</v>
      </c>
      <c r="E508" s="3" t="str">
        <f>"本科"</f>
        <v>本科</v>
      </c>
      <c r="F508" s="3" t="s">
        <v>5</v>
      </c>
      <c r="G508" s="3" t="str">
        <f>"555120lr"</f>
        <v>555120lr</v>
      </c>
    </row>
    <row r="509" spans="1:7" x14ac:dyDescent="0.15">
      <c r="A509" s="2">
        <v>507</v>
      </c>
      <c r="B509" s="3" t="str">
        <f>"王亦年"</f>
        <v>王亦年</v>
      </c>
      <c r="C509" s="3" t="str">
        <f t="shared" si="81"/>
        <v xml:space="preserve">女        </v>
      </c>
      <c r="D509" s="3" t="str">
        <f>"重庆幼儿高等师范专科学校小学数学"</f>
        <v>重庆幼儿高等师范专科学校小学数学</v>
      </c>
      <c r="E509" s="3" t="s">
        <v>10</v>
      </c>
      <c r="F509" s="3" t="s">
        <v>5</v>
      </c>
      <c r="G509" s="3"/>
    </row>
    <row r="510" spans="1:7" x14ac:dyDescent="0.15">
      <c r="A510" s="2">
        <v>508</v>
      </c>
      <c r="B510" s="3" t="str">
        <f>"黄培"</f>
        <v>黄培</v>
      </c>
      <c r="C510" s="3" t="str">
        <f t="shared" si="81"/>
        <v xml:space="preserve">女        </v>
      </c>
      <c r="D510" s="3" t="str">
        <f>"广西财经学院国际经济与贸易"</f>
        <v>广西财经学院国际经济与贸易</v>
      </c>
      <c r="E510" s="3" t="str">
        <f>"本科"</f>
        <v>本科</v>
      </c>
      <c r="F510" s="3" t="s">
        <v>5</v>
      </c>
      <c r="G510" s="3"/>
    </row>
    <row r="511" spans="1:7" x14ac:dyDescent="0.15">
      <c r="A511" s="2">
        <v>509</v>
      </c>
      <c r="B511" s="3" t="str">
        <f>"李明月"</f>
        <v>李明月</v>
      </c>
      <c r="C511" s="3" t="str">
        <f t="shared" si="81"/>
        <v xml:space="preserve">女        </v>
      </c>
      <c r="D511" s="3" t="str">
        <f>"昭通学院初等教育文科"</f>
        <v>昭通学院初等教育文科</v>
      </c>
      <c r="E511" s="3" t="s">
        <v>10</v>
      </c>
      <c r="F511" s="3" t="s">
        <v>4</v>
      </c>
      <c r="G511" s="3"/>
    </row>
    <row r="512" spans="1:7" x14ac:dyDescent="0.15">
      <c r="A512" s="2">
        <v>510</v>
      </c>
      <c r="B512" s="3" t="str">
        <f>"平云飞"</f>
        <v>平云飞</v>
      </c>
      <c r="C512" s="3" t="str">
        <f>"男        "</f>
        <v xml:space="preserve">男        </v>
      </c>
      <c r="D512" s="3" t="str">
        <f>"云南工商学院会计学"</f>
        <v>云南工商学院会计学</v>
      </c>
      <c r="E512" s="3" t="str">
        <f>"本科"</f>
        <v>本科</v>
      </c>
      <c r="F512" s="3" t="s">
        <v>4</v>
      </c>
      <c r="G512" s="3"/>
    </row>
    <row r="513" spans="1:7" x14ac:dyDescent="0.15">
      <c r="A513" s="2">
        <v>511</v>
      </c>
      <c r="B513" s="3" t="str">
        <f>"韩燕"</f>
        <v>韩燕</v>
      </c>
      <c r="C513" s="3" t="str">
        <f t="shared" ref="C513:C523" si="82">"女        "</f>
        <v xml:space="preserve">女        </v>
      </c>
      <c r="D513" s="3" t="str">
        <f>"文山学院初等教育"</f>
        <v>文山学院初等教育</v>
      </c>
      <c r="E513" s="3" t="s">
        <v>10</v>
      </c>
      <c r="F513" s="3" t="s">
        <v>4</v>
      </c>
      <c r="G513" s="3"/>
    </row>
    <row r="514" spans="1:7" x14ac:dyDescent="0.15">
      <c r="A514" s="2">
        <v>512</v>
      </c>
      <c r="B514" s="3" t="str">
        <f>"黄珊凤"</f>
        <v>黄珊凤</v>
      </c>
      <c r="C514" s="3" t="str">
        <f t="shared" si="82"/>
        <v xml:space="preserve">女        </v>
      </c>
      <c r="D514" s="3" t="str">
        <f>"贵州民族大学会计学"</f>
        <v>贵州民族大学会计学</v>
      </c>
      <c r="E514" s="3" t="str">
        <f>"本科"</f>
        <v>本科</v>
      </c>
      <c r="F514" s="3" t="s">
        <v>4</v>
      </c>
      <c r="G514" s="3"/>
    </row>
    <row r="515" spans="1:7" x14ac:dyDescent="0.15">
      <c r="A515" s="2">
        <v>513</v>
      </c>
      <c r="B515" s="3" t="str">
        <f>"农金芳"</f>
        <v>农金芳</v>
      </c>
      <c r="C515" s="3" t="str">
        <f t="shared" si="82"/>
        <v xml:space="preserve">女        </v>
      </c>
      <c r="D515" s="3" t="str">
        <f>"南宁地区教育学院语文教育"</f>
        <v>南宁地区教育学院语文教育</v>
      </c>
      <c r="E515" s="3" t="s">
        <v>10</v>
      </c>
      <c r="F515" s="3" t="s">
        <v>4</v>
      </c>
      <c r="G515" s="3" t="str">
        <f>"通过"</f>
        <v>通过</v>
      </c>
    </row>
    <row r="516" spans="1:7" x14ac:dyDescent="0.15">
      <c r="A516" s="2">
        <v>514</v>
      </c>
      <c r="B516" s="3" t="str">
        <f>"黄凤华"</f>
        <v>黄凤华</v>
      </c>
      <c r="C516" s="3" t="str">
        <f t="shared" si="82"/>
        <v xml:space="preserve">女        </v>
      </c>
      <c r="D516" s="3" t="str">
        <f>"广西财经学院广告学"</f>
        <v>广西财经学院广告学</v>
      </c>
      <c r="E516" s="3" t="str">
        <f>"本科"</f>
        <v>本科</v>
      </c>
      <c r="F516" s="3" t="s">
        <v>5</v>
      </c>
      <c r="G516" s="3"/>
    </row>
    <row r="517" spans="1:7" x14ac:dyDescent="0.15">
      <c r="A517" s="2">
        <v>515</v>
      </c>
      <c r="B517" s="3" t="str">
        <f>"秦丽"</f>
        <v>秦丽</v>
      </c>
      <c r="C517" s="3" t="str">
        <f t="shared" si="82"/>
        <v xml:space="preserve">女        </v>
      </c>
      <c r="D517" s="3" t="str">
        <f>"文山学院地理教育"</f>
        <v>文山学院地理教育</v>
      </c>
      <c r="E517" s="3" t="s">
        <v>10</v>
      </c>
      <c r="F517" s="3" t="s">
        <v>5</v>
      </c>
      <c r="G517" s="3"/>
    </row>
    <row r="518" spans="1:7" x14ac:dyDescent="0.15">
      <c r="A518" s="2">
        <v>516</v>
      </c>
      <c r="B518" s="3" t="str">
        <f>"何丽春"</f>
        <v>何丽春</v>
      </c>
      <c r="C518" s="3" t="str">
        <f t="shared" si="82"/>
        <v xml:space="preserve">女        </v>
      </c>
      <c r="D518" s="3" t="str">
        <f>"云南师范大学商学院会计学"</f>
        <v>云南师范大学商学院会计学</v>
      </c>
      <c r="E518" s="3" t="str">
        <f>"本科"</f>
        <v>本科</v>
      </c>
      <c r="F518" s="3" t="s">
        <v>5</v>
      </c>
      <c r="G518" s="3"/>
    </row>
    <row r="519" spans="1:7" x14ac:dyDescent="0.15">
      <c r="A519" s="2">
        <v>517</v>
      </c>
      <c r="B519" s="3" t="str">
        <f>"杨枣"</f>
        <v>杨枣</v>
      </c>
      <c r="C519" s="3" t="str">
        <f t="shared" si="82"/>
        <v xml:space="preserve">女        </v>
      </c>
      <c r="D519" s="3" t="str">
        <f>"滇西科技师范学院初等教育"</f>
        <v>滇西科技师范学院初等教育</v>
      </c>
      <c r="E519" s="3" t="s">
        <v>10</v>
      </c>
      <c r="F519" s="3" t="s">
        <v>4</v>
      </c>
      <c r="G519" s="3"/>
    </row>
    <row r="520" spans="1:7" x14ac:dyDescent="0.15">
      <c r="A520" s="2">
        <v>518</v>
      </c>
      <c r="B520" s="3" t="str">
        <f>"翟金菊"</f>
        <v>翟金菊</v>
      </c>
      <c r="C520" s="3" t="str">
        <f t="shared" si="82"/>
        <v xml:space="preserve">女        </v>
      </c>
      <c r="D520" s="3" t="str">
        <f>"贵阳学院语文教育"</f>
        <v>贵阳学院语文教育</v>
      </c>
      <c r="E520" s="3" t="s">
        <v>10</v>
      </c>
      <c r="F520" s="3" t="s">
        <v>4</v>
      </c>
      <c r="G520" s="3"/>
    </row>
    <row r="521" spans="1:7" x14ac:dyDescent="0.15">
      <c r="A521" s="2">
        <v>519</v>
      </c>
      <c r="B521" s="3" t="str">
        <f>"韦泉"</f>
        <v>韦泉</v>
      </c>
      <c r="C521" s="3" t="str">
        <f t="shared" si="82"/>
        <v xml:space="preserve">女        </v>
      </c>
      <c r="D521" s="3" t="str">
        <f>"湖北民族学院体育教育"</f>
        <v>湖北民族学院体育教育</v>
      </c>
      <c r="E521" s="3" t="str">
        <f>"本科"</f>
        <v>本科</v>
      </c>
      <c r="F521" s="3" t="s">
        <v>7</v>
      </c>
      <c r="G521" s="3"/>
    </row>
    <row r="522" spans="1:7" x14ac:dyDescent="0.15">
      <c r="A522" s="2">
        <v>520</v>
      </c>
      <c r="B522" s="3" t="str">
        <f>"黄瑞旻"</f>
        <v>黄瑞旻</v>
      </c>
      <c r="C522" s="3" t="str">
        <f t="shared" si="82"/>
        <v xml:space="preserve">女        </v>
      </c>
      <c r="D522" s="3" t="str">
        <f>"百色学院英语教育"</f>
        <v>百色学院英语教育</v>
      </c>
      <c r="E522" s="3" t="s">
        <v>10</v>
      </c>
      <c r="F522" s="3" t="s">
        <v>6</v>
      </c>
      <c r="G522" s="3"/>
    </row>
    <row r="523" spans="1:7" x14ac:dyDescent="0.15">
      <c r="A523" s="2">
        <v>521</v>
      </c>
      <c r="B523" s="3" t="str">
        <f>"王仕芬"</f>
        <v>王仕芬</v>
      </c>
      <c r="C523" s="3" t="str">
        <f t="shared" si="82"/>
        <v xml:space="preserve">女        </v>
      </c>
      <c r="D523" s="3" t="str">
        <f>"遵义师范学院英语教育"</f>
        <v>遵义师范学院英语教育</v>
      </c>
      <c r="E523" s="3" t="s">
        <v>10</v>
      </c>
      <c r="F523" s="3" t="s">
        <v>6</v>
      </c>
      <c r="G523" s="3"/>
    </row>
    <row r="524" spans="1:7" x14ac:dyDescent="0.15">
      <c r="A524" s="2">
        <v>522</v>
      </c>
      <c r="B524" s="3" t="str">
        <f>"王聪"</f>
        <v>王聪</v>
      </c>
      <c r="C524" s="3" t="str">
        <f>"男        "</f>
        <v xml:space="preserve">男        </v>
      </c>
      <c r="D524" s="3" t="str">
        <f>"德宏师范高等专科学校初等教育语文"</f>
        <v>德宏师范高等专科学校初等教育语文</v>
      </c>
      <c r="E524" s="3" t="s">
        <v>10</v>
      </c>
      <c r="F524" s="3" t="s">
        <v>4</v>
      </c>
      <c r="G524" s="3"/>
    </row>
    <row r="525" spans="1:7" x14ac:dyDescent="0.15">
      <c r="A525" s="2">
        <v>523</v>
      </c>
      <c r="B525" s="3" t="str">
        <f>"罗凤艳"</f>
        <v>罗凤艳</v>
      </c>
      <c r="C525" s="3" t="str">
        <f t="shared" ref="C525:C530" si="83">"女        "</f>
        <v xml:space="preserve">女        </v>
      </c>
      <c r="D525" s="3" t="str">
        <f>"河池学院英语应用方向"</f>
        <v>河池学院英语应用方向</v>
      </c>
      <c r="E525" s="3" t="str">
        <f>"本科"</f>
        <v>本科</v>
      </c>
      <c r="F525" s="3" t="s">
        <v>6</v>
      </c>
      <c r="G525" s="3"/>
    </row>
    <row r="526" spans="1:7" x14ac:dyDescent="0.15">
      <c r="A526" s="2">
        <v>524</v>
      </c>
      <c r="B526" s="3" t="str">
        <f>"苏慧妹"</f>
        <v>苏慧妹</v>
      </c>
      <c r="C526" s="3" t="str">
        <f t="shared" si="83"/>
        <v xml:space="preserve">女        </v>
      </c>
      <c r="D526" s="3" t="str">
        <f>"广西教育学院数学教育"</f>
        <v>广西教育学院数学教育</v>
      </c>
      <c r="E526" s="3" t="s">
        <v>10</v>
      </c>
      <c r="F526" s="3" t="s">
        <v>5</v>
      </c>
      <c r="G526" s="3"/>
    </row>
    <row r="527" spans="1:7" x14ac:dyDescent="0.15">
      <c r="A527" s="2">
        <v>525</v>
      </c>
      <c r="B527" s="3" t="str">
        <f>"黄玉美"</f>
        <v>黄玉美</v>
      </c>
      <c r="C527" s="3" t="str">
        <f t="shared" si="83"/>
        <v xml:space="preserve">女        </v>
      </c>
      <c r="D527" s="3" t="str">
        <f>"湖南民族职业学院初等教育"</f>
        <v>湖南民族职业学院初等教育</v>
      </c>
      <c r="E527" s="3" t="s">
        <v>10</v>
      </c>
      <c r="F527" s="3" t="s">
        <v>5</v>
      </c>
      <c r="G527" s="3"/>
    </row>
    <row r="528" spans="1:7" x14ac:dyDescent="0.15">
      <c r="A528" s="2">
        <v>526</v>
      </c>
      <c r="B528" s="3" t="str">
        <f>"赵小梅"</f>
        <v>赵小梅</v>
      </c>
      <c r="C528" s="3" t="str">
        <f t="shared" si="83"/>
        <v xml:space="preserve">女        </v>
      </c>
      <c r="D528" s="3" t="str">
        <f>"广西民族大学相思湖学院英语"</f>
        <v>广西民族大学相思湖学院英语</v>
      </c>
      <c r="E528" s="3" t="str">
        <f>"本科"</f>
        <v>本科</v>
      </c>
      <c r="F528" s="3" t="s">
        <v>6</v>
      </c>
      <c r="G528" s="3"/>
    </row>
    <row r="529" spans="1:7" x14ac:dyDescent="0.15">
      <c r="A529" s="2">
        <v>527</v>
      </c>
      <c r="B529" s="3" t="str">
        <f>"黄佩媛"</f>
        <v>黄佩媛</v>
      </c>
      <c r="C529" s="3" t="str">
        <f t="shared" si="83"/>
        <v xml:space="preserve">女        </v>
      </c>
      <c r="D529" s="3" t="str">
        <f>"百色学院综合文科教育"</f>
        <v>百色学院综合文科教育</v>
      </c>
      <c r="E529" s="3" t="s">
        <v>10</v>
      </c>
      <c r="F529" s="3" t="s">
        <v>4</v>
      </c>
      <c r="G529" s="3"/>
    </row>
    <row r="530" spans="1:7" x14ac:dyDescent="0.15">
      <c r="A530" s="2">
        <v>528</v>
      </c>
      <c r="B530" s="3" t="str">
        <f>"黄晓菊"</f>
        <v>黄晓菊</v>
      </c>
      <c r="C530" s="3" t="str">
        <f t="shared" si="83"/>
        <v xml:space="preserve">女        </v>
      </c>
      <c r="D530" s="3" t="str">
        <f>"广西民族师范学院汉语言文学"</f>
        <v>广西民族师范学院汉语言文学</v>
      </c>
      <c r="E530" s="3" t="str">
        <f>"本科"</f>
        <v>本科</v>
      </c>
      <c r="F530" s="3" t="s">
        <v>4</v>
      </c>
      <c r="G530" s="3"/>
    </row>
    <row r="531" spans="1:7" x14ac:dyDescent="0.15">
      <c r="A531" s="2">
        <v>529</v>
      </c>
      <c r="B531" s="3" t="str">
        <f>"罗英雷"</f>
        <v>罗英雷</v>
      </c>
      <c r="C531" s="3" t="str">
        <f>"男        "</f>
        <v xml:space="preserve">男        </v>
      </c>
      <c r="D531" s="3" t="str">
        <f>"百色学院小学教育"</f>
        <v>百色学院小学教育</v>
      </c>
      <c r="E531" s="3" t="s">
        <v>10</v>
      </c>
      <c r="F531" s="3" t="s">
        <v>5</v>
      </c>
      <c r="G531" s="3"/>
    </row>
    <row r="532" spans="1:7" x14ac:dyDescent="0.15">
      <c r="A532" s="2">
        <v>530</v>
      </c>
      <c r="B532" s="3" t="str">
        <f>"李正春"</f>
        <v>李正春</v>
      </c>
      <c r="C532" s="3" t="str">
        <f>"男        "</f>
        <v xml:space="preserve">男        </v>
      </c>
      <c r="D532" s="3" t="str">
        <f>"德宏师范高等专科学校体育教育"</f>
        <v>德宏师范高等专科学校体育教育</v>
      </c>
      <c r="E532" s="3" t="s">
        <v>10</v>
      </c>
      <c r="F532" s="3" t="s">
        <v>7</v>
      </c>
      <c r="G532" s="3"/>
    </row>
    <row r="533" spans="1:7" x14ac:dyDescent="0.15">
      <c r="A533" s="2">
        <v>531</v>
      </c>
      <c r="B533" s="3" t="str">
        <f>"刘雪娇"</f>
        <v>刘雪娇</v>
      </c>
      <c r="C533" s="3" t="str">
        <f>"女        "</f>
        <v xml:space="preserve">女        </v>
      </c>
      <c r="D533" s="3" t="str">
        <f>"广西师范学院英语翻译方向"</f>
        <v>广西师范学院英语翻译方向</v>
      </c>
      <c r="E533" s="3" t="str">
        <f>"本科"</f>
        <v>本科</v>
      </c>
      <c r="F533" s="3" t="s">
        <v>6</v>
      </c>
      <c r="G533" s="3"/>
    </row>
    <row r="534" spans="1:7" x14ac:dyDescent="0.15">
      <c r="A534" s="2">
        <v>532</v>
      </c>
      <c r="B534" s="3" t="str">
        <f>"唐廷富"</f>
        <v>唐廷富</v>
      </c>
      <c r="C534" s="3" t="str">
        <f>"男        "</f>
        <v xml:space="preserve">男        </v>
      </c>
      <c r="D534" s="3" t="str">
        <f>"广西教育学院汉语"</f>
        <v>广西教育学院汉语</v>
      </c>
      <c r="E534" s="3" t="s">
        <v>10</v>
      </c>
      <c r="F534" s="3" t="s">
        <v>4</v>
      </c>
      <c r="G534" s="3"/>
    </row>
    <row r="535" spans="1:7" x14ac:dyDescent="0.15">
      <c r="A535" s="2">
        <v>533</v>
      </c>
      <c r="B535" s="3" t="str">
        <f>"许靖鹏"</f>
        <v>许靖鹏</v>
      </c>
      <c r="C535" s="3" t="str">
        <f>"男        "</f>
        <v xml:space="preserve">男        </v>
      </c>
      <c r="D535" s="3" t="str">
        <f>"曲靖师范学院秘书学"</f>
        <v>曲靖师范学院秘书学</v>
      </c>
      <c r="E535" s="3" t="str">
        <f>"本科"</f>
        <v>本科</v>
      </c>
      <c r="F535" s="3" t="s">
        <v>4</v>
      </c>
      <c r="G535" s="3"/>
    </row>
    <row r="536" spans="1:7" x14ac:dyDescent="0.15">
      <c r="A536" s="2">
        <v>534</v>
      </c>
      <c r="B536" s="3" t="str">
        <f>"阮冬梅"</f>
        <v>阮冬梅</v>
      </c>
      <c r="C536" s="3" t="str">
        <f>"女        "</f>
        <v xml:space="preserve">女        </v>
      </c>
      <c r="D536" s="3" t="str">
        <f>"广西教育学院音乐教育"</f>
        <v>广西教育学院音乐教育</v>
      </c>
      <c r="E536" s="3" t="s">
        <v>10</v>
      </c>
      <c r="F536" s="3" t="s">
        <v>8</v>
      </c>
      <c r="G536" s="3"/>
    </row>
    <row r="537" spans="1:7" x14ac:dyDescent="0.15">
      <c r="A537" s="2">
        <v>535</v>
      </c>
      <c r="B537" s="3" t="str">
        <f>"桂保虎"</f>
        <v>桂保虎</v>
      </c>
      <c r="C537" s="3" t="str">
        <f>"男        "</f>
        <v xml:space="preserve">男        </v>
      </c>
      <c r="D537" s="3" t="str">
        <f>"红河学院冶金工程"</f>
        <v>红河学院冶金工程</v>
      </c>
      <c r="E537" s="3" t="str">
        <f>"本科"</f>
        <v>本科</v>
      </c>
      <c r="F537" s="3" t="s">
        <v>5</v>
      </c>
      <c r="G537" s="3"/>
    </row>
    <row r="538" spans="1:7" x14ac:dyDescent="0.15">
      <c r="A538" s="2">
        <v>536</v>
      </c>
      <c r="B538" s="3" t="str">
        <f>"马官勤"</f>
        <v>马官勤</v>
      </c>
      <c r="C538" s="3" t="str">
        <f>"男        "</f>
        <v xml:space="preserve">男        </v>
      </c>
      <c r="D538" s="3" t="str">
        <f>"昭通学院思想政治教育"</f>
        <v>昭通学院思想政治教育</v>
      </c>
      <c r="E538" s="3" t="s">
        <v>10</v>
      </c>
      <c r="F538" s="3" t="s">
        <v>5</v>
      </c>
      <c r="G538" s="3"/>
    </row>
    <row r="539" spans="1:7" x14ac:dyDescent="0.15">
      <c r="A539" s="2">
        <v>537</v>
      </c>
      <c r="B539" s="3" t="str">
        <f>"农小艳"</f>
        <v>农小艳</v>
      </c>
      <c r="C539" s="3" t="str">
        <f t="shared" ref="C539:C545" si="84">"女        "</f>
        <v xml:space="preserve">女        </v>
      </c>
      <c r="D539" s="3" t="str">
        <f>"广西教育学院数学教育"</f>
        <v>广西教育学院数学教育</v>
      </c>
      <c r="E539" s="3" t="s">
        <v>10</v>
      </c>
      <c r="F539" s="3" t="s">
        <v>5</v>
      </c>
      <c r="G539" s="3"/>
    </row>
    <row r="540" spans="1:7" x14ac:dyDescent="0.15">
      <c r="A540" s="2">
        <v>538</v>
      </c>
      <c r="B540" s="3" t="str">
        <f>"林榕"</f>
        <v>林榕</v>
      </c>
      <c r="C540" s="3" t="str">
        <f t="shared" si="84"/>
        <v xml:space="preserve">女        </v>
      </c>
      <c r="D540" s="3" t="str">
        <f>"德宏师范高等专科学校语文教育"</f>
        <v>德宏师范高等专科学校语文教育</v>
      </c>
      <c r="E540" s="3" t="s">
        <v>10</v>
      </c>
      <c r="F540" s="3" t="s">
        <v>4</v>
      </c>
      <c r="G540" s="3"/>
    </row>
    <row r="541" spans="1:7" x14ac:dyDescent="0.15">
      <c r="A541" s="2">
        <v>539</v>
      </c>
      <c r="B541" s="3" t="str">
        <f>"李继萍"</f>
        <v>李继萍</v>
      </c>
      <c r="C541" s="3" t="str">
        <f t="shared" si="84"/>
        <v xml:space="preserve">女        </v>
      </c>
      <c r="D541" s="3" t="str">
        <f>"德宏师范高等专科学校初等教育"</f>
        <v>德宏师范高等专科学校初等教育</v>
      </c>
      <c r="E541" s="3" t="s">
        <v>10</v>
      </c>
      <c r="F541" s="3" t="s">
        <v>5</v>
      </c>
      <c r="G541" s="3"/>
    </row>
    <row r="542" spans="1:7" x14ac:dyDescent="0.15">
      <c r="A542" s="2">
        <v>540</v>
      </c>
      <c r="B542" s="3" t="str">
        <f>"黄玉"</f>
        <v>黄玉</v>
      </c>
      <c r="C542" s="3" t="str">
        <f t="shared" si="84"/>
        <v xml:space="preserve">女        </v>
      </c>
      <c r="D542" s="3" t="str">
        <f>"百色学院综合文科教育"</f>
        <v>百色学院综合文科教育</v>
      </c>
      <c r="E542" s="3" t="s">
        <v>10</v>
      </c>
      <c r="F542" s="3" t="s">
        <v>4</v>
      </c>
      <c r="G542" s="3"/>
    </row>
    <row r="543" spans="1:7" x14ac:dyDescent="0.15">
      <c r="A543" s="2">
        <v>541</v>
      </c>
      <c r="B543" s="3" t="str">
        <f>"农海棠"</f>
        <v>农海棠</v>
      </c>
      <c r="C543" s="3" t="str">
        <f t="shared" si="84"/>
        <v xml:space="preserve">女        </v>
      </c>
      <c r="D543" s="3" t="str">
        <f>"广西教育学院初等教育"</f>
        <v>广西教育学院初等教育</v>
      </c>
      <c r="E543" s="3" t="s">
        <v>10</v>
      </c>
      <c r="F543" s="3" t="s">
        <v>4</v>
      </c>
      <c r="G543" s="3"/>
    </row>
    <row r="544" spans="1:7" x14ac:dyDescent="0.15">
      <c r="A544" s="2">
        <v>542</v>
      </c>
      <c r="B544" s="3" t="str">
        <f>"左梅凤"</f>
        <v>左梅凤</v>
      </c>
      <c r="C544" s="3" t="str">
        <f t="shared" si="84"/>
        <v xml:space="preserve">女        </v>
      </c>
      <c r="D544" s="3" t="str">
        <f>"临沧师范高等专科数学教育"</f>
        <v>临沧师范高等专科数学教育</v>
      </c>
      <c r="E544" s="3" t="s">
        <v>10</v>
      </c>
      <c r="F544" s="3" t="s">
        <v>5</v>
      </c>
      <c r="G544" s="3"/>
    </row>
    <row r="545" spans="1:7" x14ac:dyDescent="0.15">
      <c r="A545" s="2">
        <v>543</v>
      </c>
      <c r="B545" s="3" t="str">
        <f>"张福莲"</f>
        <v>张福莲</v>
      </c>
      <c r="C545" s="3" t="str">
        <f t="shared" si="84"/>
        <v xml:space="preserve">女        </v>
      </c>
      <c r="D545" s="3" t="str">
        <f>"云南艺术学院文华学院汉语言文学"</f>
        <v>云南艺术学院文华学院汉语言文学</v>
      </c>
      <c r="E545" s="3" t="str">
        <f>"本科"</f>
        <v>本科</v>
      </c>
      <c r="F545" s="3" t="s">
        <v>4</v>
      </c>
      <c r="G545" s="3"/>
    </row>
    <row r="546" spans="1:7" x14ac:dyDescent="0.15">
      <c r="A546" s="2">
        <v>544</v>
      </c>
      <c r="B546" s="3" t="str">
        <f>"胡宏亮"</f>
        <v>胡宏亮</v>
      </c>
      <c r="C546" s="3" t="str">
        <f>"男        "</f>
        <v xml:space="preserve">男        </v>
      </c>
      <c r="D546" s="3" t="str">
        <f>"德宏师范高等专科学校现代教育技术"</f>
        <v>德宏师范高等专科学校现代教育技术</v>
      </c>
      <c r="E546" s="3" t="s">
        <v>10</v>
      </c>
      <c r="F546" s="3" t="s">
        <v>9</v>
      </c>
      <c r="G546" s="3"/>
    </row>
    <row r="547" spans="1:7" x14ac:dyDescent="0.15">
      <c r="A547" s="2">
        <v>545</v>
      </c>
      <c r="B547" s="3" t="str">
        <f>"何玉英"</f>
        <v>何玉英</v>
      </c>
      <c r="C547" s="3" t="str">
        <f>"女        "</f>
        <v xml:space="preserve">女        </v>
      </c>
      <c r="D547" s="3" t="str">
        <f>"昆明冶金高等专科学校应用英语"</f>
        <v>昆明冶金高等专科学校应用英语</v>
      </c>
      <c r="E547" s="3" t="s">
        <v>10</v>
      </c>
      <c r="F547" s="3" t="s">
        <v>6</v>
      </c>
      <c r="G547" s="3"/>
    </row>
    <row r="548" spans="1:7" x14ac:dyDescent="0.15">
      <c r="A548" s="2">
        <v>546</v>
      </c>
      <c r="B548" s="3" t="str">
        <f>"杨瑞"</f>
        <v>杨瑞</v>
      </c>
      <c r="C548" s="3" t="str">
        <f>"女        "</f>
        <v xml:space="preserve">女        </v>
      </c>
      <c r="D548" s="3" t="str">
        <f>"德宏师范高等专科学校语文教育"</f>
        <v>德宏师范高等专科学校语文教育</v>
      </c>
      <c r="E548" s="3" t="s">
        <v>10</v>
      </c>
      <c r="F548" s="3" t="s">
        <v>4</v>
      </c>
      <c r="G548" s="3"/>
    </row>
    <row r="549" spans="1:7" x14ac:dyDescent="0.15">
      <c r="A549" s="2">
        <v>547</v>
      </c>
      <c r="B549" s="3" t="str">
        <f>"陈卫景"</f>
        <v>陈卫景</v>
      </c>
      <c r="C549" s="3" t="str">
        <f>"女        "</f>
        <v xml:space="preserve">女        </v>
      </c>
      <c r="D549" s="3" t="str">
        <f>"百色学院学前教育"</f>
        <v>百色学院学前教育</v>
      </c>
      <c r="E549" s="3" t="s">
        <v>10</v>
      </c>
      <c r="F549" s="3" t="s">
        <v>4</v>
      </c>
      <c r="G549" s="3"/>
    </row>
    <row r="550" spans="1:7" x14ac:dyDescent="0.15">
      <c r="A550" s="2">
        <v>548</v>
      </c>
      <c r="B550" s="3" t="str">
        <f>"陈久勇"</f>
        <v>陈久勇</v>
      </c>
      <c r="C550" s="3" t="str">
        <f>"男        "</f>
        <v xml:space="preserve">男        </v>
      </c>
      <c r="D550" s="3" t="str">
        <f>"贺州学院小学教育"</f>
        <v>贺州学院小学教育</v>
      </c>
      <c r="E550" s="3" t="str">
        <f t="shared" ref="E550:E552" si="85">"本科"</f>
        <v>本科</v>
      </c>
      <c r="F550" s="3" t="s">
        <v>4</v>
      </c>
      <c r="G550" s="3"/>
    </row>
    <row r="551" spans="1:7" x14ac:dyDescent="0.15">
      <c r="A551" s="2">
        <v>549</v>
      </c>
      <c r="B551" s="3" t="str">
        <f>"罗艳"</f>
        <v>罗艳</v>
      </c>
      <c r="C551" s="3" t="str">
        <f>"女        "</f>
        <v xml:space="preserve">女        </v>
      </c>
      <c r="D551" s="3" t="str">
        <f>"红河学院小学教育"</f>
        <v>红河学院小学教育</v>
      </c>
      <c r="E551" s="3" t="str">
        <f t="shared" si="85"/>
        <v>本科</v>
      </c>
      <c r="F551" s="3" t="s">
        <v>4</v>
      </c>
      <c r="G551" s="3"/>
    </row>
    <row r="552" spans="1:7" x14ac:dyDescent="0.15">
      <c r="A552" s="2">
        <v>550</v>
      </c>
      <c r="B552" s="3" t="str">
        <f>"赵囿绘"</f>
        <v>赵囿绘</v>
      </c>
      <c r="C552" s="3" t="str">
        <f>"女        "</f>
        <v xml:space="preserve">女        </v>
      </c>
      <c r="D552" s="3" t="str">
        <f>"云南民族大学秘书学"</f>
        <v>云南民族大学秘书学</v>
      </c>
      <c r="E552" s="3" t="str">
        <f t="shared" si="85"/>
        <v>本科</v>
      </c>
      <c r="F552" s="3" t="s">
        <v>4</v>
      </c>
      <c r="G552" s="3"/>
    </row>
    <row r="553" spans="1:7" x14ac:dyDescent="0.15">
      <c r="A553" s="2">
        <v>551</v>
      </c>
      <c r="B553" s="3" t="str">
        <f>"黄辉"</f>
        <v>黄辉</v>
      </c>
      <c r="C553" s="3" t="str">
        <f>"男        "</f>
        <v xml:space="preserve">男        </v>
      </c>
      <c r="D553" s="3" t="str">
        <f>"德宏师范高等专科学校生物教育"</f>
        <v>德宏师范高等专科学校生物教育</v>
      </c>
      <c r="E553" s="3" t="s">
        <v>10</v>
      </c>
      <c r="F553" s="3" t="s">
        <v>5</v>
      </c>
      <c r="G553" s="3"/>
    </row>
    <row r="554" spans="1:7" x14ac:dyDescent="0.15">
      <c r="A554" s="2">
        <v>552</v>
      </c>
      <c r="B554" s="3" t="str">
        <f>"汪曾明"</f>
        <v>汪曾明</v>
      </c>
      <c r="C554" s="3" t="str">
        <f>"男        "</f>
        <v xml:space="preserve">男        </v>
      </c>
      <c r="D554" s="3" t="str">
        <f>"文山学院化学教育"</f>
        <v>文山学院化学教育</v>
      </c>
      <c r="E554" s="3" t="s">
        <v>10</v>
      </c>
      <c r="F554" s="3" t="s">
        <v>5</v>
      </c>
      <c r="G554" s="3"/>
    </row>
    <row r="555" spans="1:7" x14ac:dyDescent="0.15">
      <c r="A555" s="2">
        <v>553</v>
      </c>
      <c r="B555" s="3" t="str">
        <f>"高左花"</f>
        <v>高左花</v>
      </c>
      <c r="C555" s="3" t="str">
        <f>"女        "</f>
        <v xml:space="preserve">女        </v>
      </c>
      <c r="D555" s="3" t="str">
        <f>"西双版纳职业技术学院语文教育"</f>
        <v>西双版纳职业技术学院语文教育</v>
      </c>
      <c r="E555" s="3" t="s">
        <v>10</v>
      </c>
      <c r="F555" s="3" t="s">
        <v>4</v>
      </c>
      <c r="G555" s="3"/>
    </row>
    <row r="556" spans="1:7" x14ac:dyDescent="0.15">
      <c r="A556" s="2">
        <v>554</v>
      </c>
      <c r="B556" s="3" t="str">
        <f>"龚元俊"</f>
        <v>龚元俊</v>
      </c>
      <c r="C556" s="3" t="str">
        <f>"女        "</f>
        <v xml:space="preserve">女        </v>
      </c>
      <c r="D556" s="3" t="str">
        <f>"德宏师范高等专科学校语文教育"</f>
        <v>德宏师范高等专科学校语文教育</v>
      </c>
      <c r="E556" s="3" t="s">
        <v>10</v>
      </c>
      <c r="F556" s="3" t="s">
        <v>4</v>
      </c>
      <c r="G556" s="3"/>
    </row>
    <row r="557" spans="1:7" x14ac:dyDescent="0.15">
      <c r="A557" s="2">
        <v>555</v>
      </c>
      <c r="B557" s="3" t="str">
        <f>"赵露萍"</f>
        <v>赵露萍</v>
      </c>
      <c r="C557" s="3" t="str">
        <f>"女        "</f>
        <v xml:space="preserve">女        </v>
      </c>
      <c r="D557" s="3" t="str">
        <f>"文山学院初等教育"</f>
        <v>文山学院初等教育</v>
      </c>
      <c r="E557" s="3" t="s">
        <v>10</v>
      </c>
      <c r="F557" s="3" t="s">
        <v>5</v>
      </c>
      <c r="G557" s="3"/>
    </row>
    <row r="558" spans="1:7" x14ac:dyDescent="0.15">
      <c r="A558" s="2">
        <v>556</v>
      </c>
      <c r="B558" s="3" t="str">
        <f>"钟灵毓秀"</f>
        <v>钟灵毓秀</v>
      </c>
      <c r="C558" s="3" t="str">
        <f>"女        "</f>
        <v xml:space="preserve">女        </v>
      </c>
      <c r="D558" s="3" t="str">
        <f>"广西师范大学漓江学院财务管理"</f>
        <v>广西师范大学漓江学院财务管理</v>
      </c>
      <c r="E558" s="3" t="str">
        <f t="shared" ref="E558:E560" si="86">"本科"</f>
        <v>本科</v>
      </c>
      <c r="F558" s="3" t="s">
        <v>5</v>
      </c>
      <c r="G558" s="3"/>
    </row>
    <row r="559" spans="1:7" x14ac:dyDescent="0.15">
      <c r="A559" s="2">
        <v>557</v>
      </c>
      <c r="B559" s="3" t="str">
        <f>"罗任贵"</f>
        <v>罗任贵</v>
      </c>
      <c r="C559" s="3" t="str">
        <f>"男        "</f>
        <v xml:space="preserve">男        </v>
      </c>
      <c r="D559" s="3" t="str">
        <f>"百色学院电子信息工程"</f>
        <v>百色学院电子信息工程</v>
      </c>
      <c r="E559" s="3" t="str">
        <f t="shared" si="86"/>
        <v>本科</v>
      </c>
      <c r="F559" s="3" t="s">
        <v>5</v>
      </c>
      <c r="G559" s="3"/>
    </row>
    <row r="560" spans="1:7" x14ac:dyDescent="0.15">
      <c r="A560" s="2">
        <v>558</v>
      </c>
      <c r="B560" s="3" t="str">
        <f>"韦天蕊"</f>
        <v>韦天蕊</v>
      </c>
      <c r="C560" s="3" t="str">
        <f>"女        "</f>
        <v xml:space="preserve">女        </v>
      </c>
      <c r="D560" s="3" t="str">
        <f>"云南师范学院商学院工商管理"</f>
        <v>云南师范学院商学院工商管理</v>
      </c>
      <c r="E560" s="3" t="str">
        <f t="shared" si="86"/>
        <v>本科</v>
      </c>
      <c r="F560" s="3" t="s">
        <v>5</v>
      </c>
      <c r="G560" s="3"/>
    </row>
    <row r="561" spans="1:7" x14ac:dyDescent="0.15">
      <c r="A561" s="2">
        <v>559</v>
      </c>
      <c r="B561" s="3" t="str">
        <f>"袁文祥"</f>
        <v>袁文祥</v>
      </c>
      <c r="C561" s="3" t="str">
        <f>"男        "</f>
        <v xml:space="preserve">男        </v>
      </c>
      <c r="D561" s="3" t="str">
        <f>"德宏师范高等专科学校民族传统体育"</f>
        <v>德宏师范高等专科学校民族传统体育</v>
      </c>
      <c r="E561" s="3" t="s">
        <v>10</v>
      </c>
      <c r="F561" s="3" t="s">
        <v>7</v>
      </c>
      <c r="G561" s="3"/>
    </row>
    <row r="562" spans="1:7" x14ac:dyDescent="0.15">
      <c r="A562" s="2">
        <v>560</v>
      </c>
      <c r="B562" s="3" t="str">
        <f>"曾艳丽"</f>
        <v>曾艳丽</v>
      </c>
      <c r="C562" s="3" t="str">
        <f t="shared" ref="C562:C569" si="87">"女        "</f>
        <v xml:space="preserve">女        </v>
      </c>
      <c r="D562" s="3" t="str">
        <f>"德宏师范高等专科学校初等教育文科"</f>
        <v>德宏师范高等专科学校初等教育文科</v>
      </c>
      <c r="E562" s="3" t="s">
        <v>10</v>
      </c>
      <c r="F562" s="3" t="s">
        <v>4</v>
      </c>
      <c r="G562" s="3"/>
    </row>
    <row r="563" spans="1:7" x14ac:dyDescent="0.15">
      <c r="A563" s="2">
        <v>561</v>
      </c>
      <c r="B563" s="3" t="str">
        <f>"熊丽蓉"</f>
        <v>熊丽蓉</v>
      </c>
      <c r="C563" s="3" t="str">
        <f t="shared" si="87"/>
        <v xml:space="preserve">女        </v>
      </c>
      <c r="D563" s="3" t="str">
        <f>"滇西科技师范学院初等教育"</f>
        <v>滇西科技师范学院初等教育</v>
      </c>
      <c r="E563" s="3" t="s">
        <v>10</v>
      </c>
      <c r="F563" s="3" t="s">
        <v>4</v>
      </c>
      <c r="G563" s="3"/>
    </row>
    <row r="564" spans="1:7" x14ac:dyDescent="0.15">
      <c r="A564" s="2">
        <v>562</v>
      </c>
      <c r="B564" s="3" t="str">
        <f>"赵铃芳"</f>
        <v>赵铃芳</v>
      </c>
      <c r="C564" s="3" t="str">
        <f t="shared" si="87"/>
        <v xml:space="preserve">女        </v>
      </c>
      <c r="D564" s="3" t="str">
        <f>"德宏师范高等专科学校数学教育"</f>
        <v>德宏师范高等专科学校数学教育</v>
      </c>
      <c r="E564" s="3" t="s">
        <v>10</v>
      </c>
      <c r="F564" s="3" t="s">
        <v>5</v>
      </c>
      <c r="G564" s="3"/>
    </row>
    <row r="565" spans="1:7" x14ac:dyDescent="0.15">
      <c r="A565" s="2">
        <v>563</v>
      </c>
      <c r="B565" s="3" t="str">
        <f>"梁冰"</f>
        <v>梁冰</v>
      </c>
      <c r="C565" s="3" t="str">
        <f t="shared" si="87"/>
        <v xml:space="preserve">女        </v>
      </c>
      <c r="D565" s="3" t="str">
        <f>"广西师范学院学前教育"</f>
        <v>广西师范学院学前教育</v>
      </c>
      <c r="E565" s="3" t="str">
        <f t="shared" ref="E565:E566" si="88">"本科"</f>
        <v>本科</v>
      </c>
      <c r="F565" s="3" t="s">
        <v>4</v>
      </c>
      <c r="G565" s="3"/>
    </row>
    <row r="566" spans="1:7" x14ac:dyDescent="0.15">
      <c r="A566" s="2">
        <v>564</v>
      </c>
      <c r="B566" s="3" t="str">
        <f>"陈秦韵"</f>
        <v>陈秦韵</v>
      </c>
      <c r="C566" s="3" t="str">
        <f t="shared" si="87"/>
        <v xml:space="preserve">女        </v>
      </c>
      <c r="D566" s="3" t="str">
        <f>"云南大学旅游文化学院会计学"</f>
        <v>云南大学旅游文化学院会计学</v>
      </c>
      <c r="E566" s="3" t="str">
        <f t="shared" si="88"/>
        <v>本科</v>
      </c>
      <c r="F566" s="3" t="s">
        <v>5</v>
      </c>
      <c r="G566" s="3"/>
    </row>
    <row r="567" spans="1:7" x14ac:dyDescent="0.15">
      <c r="A567" s="2">
        <v>565</v>
      </c>
      <c r="B567" s="3" t="str">
        <f>"李彩芸"</f>
        <v>李彩芸</v>
      </c>
      <c r="C567" s="3" t="str">
        <f t="shared" si="87"/>
        <v xml:space="preserve">女        </v>
      </c>
      <c r="D567" s="3" t="str">
        <f>"广西幼儿师范高等专科学校汉语"</f>
        <v>广西幼儿师范高等专科学校汉语</v>
      </c>
      <c r="E567" s="3" t="s">
        <v>10</v>
      </c>
      <c r="F567" s="3" t="s">
        <v>4</v>
      </c>
      <c r="G567" s="3"/>
    </row>
    <row r="568" spans="1:7" x14ac:dyDescent="0.15">
      <c r="A568" s="2">
        <v>566</v>
      </c>
      <c r="B568" s="3" t="str">
        <f>"李溪"</f>
        <v>李溪</v>
      </c>
      <c r="C568" s="3" t="str">
        <f t="shared" si="87"/>
        <v xml:space="preserve">女        </v>
      </c>
      <c r="D568" s="3" t="str">
        <f>"红河学院化学"</f>
        <v>红河学院化学</v>
      </c>
      <c r="E568" s="3" t="str">
        <f t="shared" ref="E568:E569" si="89">"本科"</f>
        <v>本科</v>
      </c>
      <c r="F568" s="3" t="s">
        <v>5</v>
      </c>
      <c r="G568" s="3"/>
    </row>
    <row r="569" spans="1:7" x14ac:dyDescent="0.15">
      <c r="A569" s="2">
        <v>567</v>
      </c>
      <c r="B569" s="3" t="str">
        <f>"吴远丽"</f>
        <v>吴远丽</v>
      </c>
      <c r="C569" s="3" t="str">
        <f t="shared" si="87"/>
        <v xml:space="preserve">女        </v>
      </c>
      <c r="D569" s="3" t="str">
        <f>"保山学院汉语言文学"</f>
        <v>保山学院汉语言文学</v>
      </c>
      <c r="E569" s="3" t="str">
        <f t="shared" si="89"/>
        <v>本科</v>
      </c>
      <c r="F569" s="3" t="s">
        <v>4</v>
      </c>
      <c r="G569" s="3"/>
    </row>
    <row r="570" spans="1:7" x14ac:dyDescent="0.15">
      <c r="A570" s="2">
        <v>568</v>
      </c>
      <c r="B570" s="3" t="str">
        <f>"祁陶"</f>
        <v>祁陶</v>
      </c>
      <c r="C570" s="3" t="str">
        <f>"男        "</f>
        <v xml:space="preserve">男        </v>
      </c>
      <c r="D570" s="3" t="str">
        <f>"文山学院体育教育"</f>
        <v>文山学院体育教育</v>
      </c>
      <c r="E570" s="3" t="s">
        <v>10</v>
      </c>
      <c r="F570" s="3" t="s">
        <v>7</v>
      </c>
      <c r="G570" s="3"/>
    </row>
    <row r="571" spans="1:7" x14ac:dyDescent="0.15">
      <c r="A571" s="2">
        <v>569</v>
      </c>
      <c r="B571" s="3" t="str">
        <f>"严兴昕"</f>
        <v>严兴昕</v>
      </c>
      <c r="C571" s="3" t="str">
        <f>"女        "</f>
        <v xml:space="preserve">女        </v>
      </c>
      <c r="D571" s="3" t="str">
        <f>"云南工商学院工商管理"</f>
        <v>云南工商学院工商管理</v>
      </c>
      <c r="E571" s="3" t="str">
        <f>"本科"</f>
        <v>本科</v>
      </c>
      <c r="F571" s="3" t="s">
        <v>4</v>
      </c>
      <c r="G571" s="3"/>
    </row>
    <row r="572" spans="1:7" x14ac:dyDescent="0.15">
      <c r="A572" s="2">
        <v>570</v>
      </c>
      <c r="B572" s="3" t="str">
        <f>"陆日甲"</f>
        <v>陆日甲</v>
      </c>
      <c r="C572" s="3" t="str">
        <f>"男        "</f>
        <v xml:space="preserve">男        </v>
      </c>
      <c r="D572" s="3" t="str">
        <f>"广西科技师范学院语文教育"</f>
        <v>广西科技师范学院语文教育</v>
      </c>
      <c r="E572" s="3" t="s">
        <v>10</v>
      </c>
      <c r="F572" s="3" t="s">
        <v>4</v>
      </c>
      <c r="G572" s="3"/>
    </row>
    <row r="573" spans="1:7" x14ac:dyDescent="0.15">
      <c r="A573" s="2">
        <v>571</v>
      </c>
      <c r="B573" s="3" t="str">
        <f>"谭青"</f>
        <v>谭青</v>
      </c>
      <c r="C573" s="3" t="str">
        <f t="shared" ref="C573:C579" si="90">"女        "</f>
        <v xml:space="preserve">女        </v>
      </c>
      <c r="D573" s="3" t="str">
        <f>"昆明学院数学与应用数学"</f>
        <v>昆明学院数学与应用数学</v>
      </c>
      <c r="E573" s="3" t="str">
        <f>"本科"</f>
        <v>本科</v>
      </c>
      <c r="F573" s="3" t="s">
        <v>5</v>
      </c>
      <c r="G573" s="3"/>
    </row>
    <row r="574" spans="1:7" x14ac:dyDescent="0.15">
      <c r="A574" s="2">
        <v>572</v>
      </c>
      <c r="B574" s="3" t="str">
        <f>"杨丽"</f>
        <v>杨丽</v>
      </c>
      <c r="C574" s="3" t="str">
        <f t="shared" si="90"/>
        <v xml:space="preserve">女        </v>
      </c>
      <c r="D574" s="3" t="str">
        <f>"临沧师范高等专科学校英语教育"</f>
        <v>临沧师范高等专科学校英语教育</v>
      </c>
      <c r="E574" s="3" t="s">
        <v>10</v>
      </c>
      <c r="F574" s="3" t="s">
        <v>6</v>
      </c>
      <c r="G574" s="3"/>
    </row>
    <row r="575" spans="1:7" x14ac:dyDescent="0.15">
      <c r="A575" s="2">
        <v>573</v>
      </c>
      <c r="B575" s="3" t="str">
        <f>"陈彦苡"</f>
        <v>陈彦苡</v>
      </c>
      <c r="C575" s="3" t="str">
        <f t="shared" si="90"/>
        <v xml:space="preserve">女        </v>
      </c>
      <c r="D575" s="3" t="str">
        <f>"百色学院综合文科教育"</f>
        <v>百色学院综合文科教育</v>
      </c>
      <c r="E575" s="3" t="s">
        <v>10</v>
      </c>
      <c r="F575" s="3" t="s">
        <v>4</v>
      </c>
      <c r="G575" s="3"/>
    </row>
    <row r="576" spans="1:7" x14ac:dyDescent="0.15">
      <c r="A576" s="2">
        <v>574</v>
      </c>
      <c r="B576" s="3" t="str">
        <f>"杜青颖"</f>
        <v>杜青颖</v>
      </c>
      <c r="C576" s="3" t="str">
        <f t="shared" si="90"/>
        <v xml:space="preserve">女        </v>
      </c>
      <c r="D576" s="3" t="str">
        <f>"云南民族大学制药工程"</f>
        <v>云南民族大学制药工程</v>
      </c>
      <c r="E576" s="3" t="str">
        <f>"本科"</f>
        <v>本科</v>
      </c>
      <c r="F576" s="3" t="s">
        <v>4</v>
      </c>
      <c r="G576" s="3"/>
    </row>
    <row r="577" spans="1:7" x14ac:dyDescent="0.15">
      <c r="A577" s="2">
        <v>575</v>
      </c>
      <c r="B577" s="3" t="str">
        <f>"殷盛琼"</f>
        <v>殷盛琼</v>
      </c>
      <c r="C577" s="3" t="str">
        <f t="shared" si="90"/>
        <v xml:space="preserve">女        </v>
      </c>
      <c r="D577" s="3" t="str">
        <f>"丽江师范高等专科学校数学教育"</f>
        <v>丽江师范高等专科学校数学教育</v>
      </c>
      <c r="E577" s="3" t="s">
        <v>10</v>
      </c>
      <c r="F577" s="3" t="s">
        <v>5</v>
      </c>
      <c r="G577" s="3"/>
    </row>
    <row r="578" spans="1:7" x14ac:dyDescent="0.15">
      <c r="A578" s="2">
        <v>576</v>
      </c>
      <c r="B578" s="3" t="str">
        <f>"王迪"</f>
        <v>王迪</v>
      </c>
      <c r="C578" s="3" t="str">
        <f t="shared" si="90"/>
        <v xml:space="preserve">女        </v>
      </c>
      <c r="D578" s="3" t="str">
        <f>"楚雄师范学院汉语言文学"</f>
        <v>楚雄师范学院汉语言文学</v>
      </c>
      <c r="E578" s="3" t="str">
        <f t="shared" ref="E578:E579" si="91">"本科"</f>
        <v>本科</v>
      </c>
      <c r="F578" s="3" t="s">
        <v>4</v>
      </c>
      <c r="G578" s="3"/>
    </row>
    <row r="579" spans="1:7" x14ac:dyDescent="0.15">
      <c r="A579" s="2">
        <v>577</v>
      </c>
      <c r="B579" s="3" t="str">
        <f>"蒙丽娟"</f>
        <v>蒙丽娟</v>
      </c>
      <c r="C579" s="3" t="str">
        <f t="shared" si="90"/>
        <v xml:space="preserve">女        </v>
      </c>
      <c r="D579" s="3" t="str">
        <f>"楚雄师范学院小学教育"</f>
        <v>楚雄师范学院小学教育</v>
      </c>
      <c r="E579" s="3" t="str">
        <f t="shared" si="91"/>
        <v>本科</v>
      </c>
      <c r="F579" s="3" t="s">
        <v>5</v>
      </c>
      <c r="G579" s="3"/>
    </row>
    <row r="580" spans="1:7" x14ac:dyDescent="0.15">
      <c r="A580" s="2">
        <v>578</v>
      </c>
      <c r="B580" s="3" t="str">
        <f>"李龙成"</f>
        <v>李龙成</v>
      </c>
      <c r="C580" s="3" t="str">
        <f>"男        "</f>
        <v xml:space="preserve">男        </v>
      </c>
      <c r="D580" s="3" t="str">
        <f>"云南思茅师范高等专科学校英语教育"</f>
        <v>云南思茅师范高等专科学校英语教育</v>
      </c>
      <c r="E580" s="3" t="s">
        <v>10</v>
      </c>
      <c r="F580" s="3" t="s">
        <v>6</v>
      </c>
      <c r="G580" s="3"/>
    </row>
    <row r="581" spans="1:7" x14ac:dyDescent="0.15">
      <c r="A581" s="2">
        <v>579</v>
      </c>
      <c r="B581" s="3" t="str">
        <f>"王凤青"</f>
        <v>王凤青</v>
      </c>
      <c r="C581" s="3" t="str">
        <f>"女        "</f>
        <v xml:space="preserve">女        </v>
      </c>
      <c r="D581" s="3" t="str">
        <f>"玉林师范学院学前教育"</f>
        <v>玉林师范学院学前教育</v>
      </c>
      <c r="E581" s="3" t="str">
        <f t="shared" ref="E581:E582" si="92">"本科"</f>
        <v>本科</v>
      </c>
      <c r="F581" s="3" t="s">
        <v>4</v>
      </c>
      <c r="G581" s="3"/>
    </row>
    <row r="582" spans="1:7" x14ac:dyDescent="0.15">
      <c r="A582" s="2">
        <v>580</v>
      </c>
      <c r="B582" s="3" t="str">
        <f>"赖泽青"</f>
        <v>赖泽青</v>
      </c>
      <c r="C582" s="3" t="str">
        <f>"女        "</f>
        <v xml:space="preserve">女        </v>
      </c>
      <c r="D582" s="3" t="str">
        <f>"广西民族师范学院英语教育"</f>
        <v>广西民族师范学院英语教育</v>
      </c>
      <c r="E582" s="3" t="str">
        <f t="shared" si="92"/>
        <v>本科</v>
      </c>
      <c r="F582" s="3" t="s">
        <v>6</v>
      </c>
      <c r="G582" s="3"/>
    </row>
    <row r="583" spans="1:7" x14ac:dyDescent="0.15">
      <c r="A583" s="2">
        <v>581</v>
      </c>
      <c r="B583" s="3" t="str">
        <f>"农波"</f>
        <v>农波</v>
      </c>
      <c r="C583" s="3" t="str">
        <f>"男        "</f>
        <v xml:space="preserve">男        </v>
      </c>
      <c r="D583" s="3" t="str">
        <f>"百色学院汉语"</f>
        <v>百色学院汉语</v>
      </c>
      <c r="E583" s="3" t="s">
        <v>10</v>
      </c>
      <c r="F583" s="3" t="s">
        <v>4</v>
      </c>
      <c r="G583" s="3"/>
    </row>
    <row r="584" spans="1:7" x14ac:dyDescent="0.15">
      <c r="A584" s="2">
        <v>582</v>
      </c>
      <c r="B584" s="3" t="str">
        <f>"韦香"</f>
        <v>韦香</v>
      </c>
      <c r="C584" s="3" t="str">
        <f>"女        "</f>
        <v xml:space="preserve">女        </v>
      </c>
      <c r="D584" s="3" t="str">
        <f>"丽江师范高等专科学校小学教育"</f>
        <v>丽江师范高等专科学校小学教育</v>
      </c>
      <c r="E584" s="3" t="s">
        <v>10</v>
      </c>
      <c r="F584" s="3" t="s">
        <v>4</v>
      </c>
      <c r="G584" s="3"/>
    </row>
    <row r="585" spans="1:7" x14ac:dyDescent="0.15">
      <c r="A585" s="2">
        <v>583</v>
      </c>
      <c r="B585" s="3" t="str">
        <f>"王文艳"</f>
        <v>王文艳</v>
      </c>
      <c r="C585" s="3" t="str">
        <f>"女        "</f>
        <v xml:space="preserve">女        </v>
      </c>
      <c r="D585" s="3" t="str">
        <f>"百色学院综合文科教育"</f>
        <v>百色学院综合文科教育</v>
      </c>
      <c r="E585" s="3" t="s">
        <v>10</v>
      </c>
      <c r="F585" s="3" t="s">
        <v>4</v>
      </c>
      <c r="G585" s="3"/>
    </row>
    <row r="586" spans="1:7" x14ac:dyDescent="0.15">
      <c r="A586" s="2">
        <v>584</v>
      </c>
      <c r="B586" s="3" t="str">
        <f>"陆丽金"</f>
        <v>陆丽金</v>
      </c>
      <c r="C586" s="3" t="str">
        <f>"女        "</f>
        <v xml:space="preserve">女        </v>
      </c>
      <c r="D586" s="3" t="str">
        <f>"广西幼儿师范高等专科学校艺术体育教育"</f>
        <v>广西幼儿师范高等专科学校艺术体育教育</v>
      </c>
      <c r="E586" s="3" t="s">
        <v>10</v>
      </c>
      <c r="F586" s="3" t="s">
        <v>8</v>
      </c>
      <c r="G586" s="3"/>
    </row>
    <row r="587" spans="1:7" x14ac:dyDescent="0.15">
      <c r="A587" s="2">
        <v>585</v>
      </c>
      <c r="B587" s="3" t="str">
        <f>"潘雪纯"</f>
        <v>潘雪纯</v>
      </c>
      <c r="C587" s="3" t="str">
        <f>"女        "</f>
        <v xml:space="preserve">女        </v>
      </c>
      <c r="D587" s="3" t="str">
        <f>"广西工业职业技术学院学前教育"</f>
        <v>广西工业职业技术学院学前教育</v>
      </c>
      <c r="E587" s="3" t="s">
        <v>10</v>
      </c>
      <c r="F587" s="3" t="s">
        <v>5</v>
      </c>
      <c r="G587" s="3"/>
    </row>
    <row r="588" spans="1:7" x14ac:dyDescent="0.15">
      <c r="A588" s="2">
        <v>586</v>
      </c>
      <c r="B588" s="3" t="str">
        <f>"刘永发"</f>
        <v>刘永发</v>
      </c>
      <c r="C588" s="3" t="str">
        <f>"男        "</f>
        <v xml:space="preserve">男        </v>
      </c>
      <c r="D588" s="3" t="str">
        <f>"楚雄师范学院思想政治教育"</f>
        <v>楚雄师范学院思想政治教育</v>
      </c>
      <c r="E588" s="3" t="str">
        <f t="shared" ref="E588:E589" si="93">"本科"</f>
        <v>本科</v>
      </c>
      <c r="F588" s="3" t="s">
        <v>4</v>
      </c>
      <c r="G588" s="3"/>
    </row>
    <row r="589" spans="1:7" x14ac:dyDescent="0.15">
      <c r="A589" s="2">
        <v>587</v>
      </c>
      <c r="B589" s="3" t="str">
        <f>"韦秋练"</f>
        <v>韦秋练</v>
      </c>
      <c r="C589" s="3" t="str">
        <f>"女        "</f>
        <v xml:space="preserve">女        </v>
      </c>
      <c r="D589" s="3" t="str">
        <f>"广西师范大学漓江学院财务管理"</f>
        <v>广西师范大学漓江学院财务管理</v>
      </c>
      <c r="E589" s="3" t="str">
        <f t="shared" si="93"/>
        <v>本科</v>
      </c>
      <c r="F589" s="3" t="s">
        <v>5</v>
      </c>
      <c r="G589" s="3"/>
    </row>
    <row r="590" spans="1:7" x14ac:dyDescent="0.15">
      <c r="A590" s="2">
        <v>588</v>
      </c>
      <c r="B590" s="3" t="str">
        <f>"廖小燕"</f>
        <v>廖小燕</v>
      </c>
      <c r="C590" s="3" t="str">
        <f>"女        "</f>
        <v xml:space="preserve">女        </v>
      </c>
      <c r="D590" s="3" t="str">
        <f>"广西科技师范学院学前教育"</f>
        <v>广西科技师范学院学前教育</v>
      </c>
      <c r="E590" s="3" t="s">
        <v>10</v>
      </c>
      <c r="F590" s="3" t="s">
        <v>5</v>
      </c>
      <c r="G590" s="3"/>
    </row>
    <row r="591" spans="1:7" x14ac:dyDescent="0.15">
      <c r="A591" s="2">
        <v>589</v>
      </c>
      <c r="B591" s="3" t="str">
        <f>"梁艳珍"</f>
        <v>梁艳珍</v>
      </c>
      <c r="C591" s="3" t="str">
        <f>"女        "</f>
        <v xml:space="preserve">女        </v>
      </c>
      <c r="D591" s="3" t="str">
        <f>"广西教育学院初等教育"</f>
        <v>广西教育学院初等教育</v>
      </c>
      <c r="E591" s="3" t="s">
        <v>10</v>
      </c>
      <c r="F591" s="3" t="s">
        <v>4</v>
      </c>
      <c r="G591" s="3"/>
    </row>
    <row r="592" spans="1:7" x14ac:dyDescent="0.15">
      <c r="A592" s="2">
        <v>590</v>
      </c>
      <c r="B592" s="3" t="str">
        <f>"王园"</f>
        <v>王园</v>
      </c>
      <c r="C592" s="3" t="str">
        <f>"女        "</f>
        <v xml:space="preserve">女        </v>
      </c>
      <c r="D592" s="3" t="str">
        <f>"黔南民族幼儿高等专科学校语文教育"</f>
        <v>黔南民族幼儿高等专科学校语文教育</v>
      </c>
      <c r="E592" s="3" t="s">
        <v>10</v>
      </c>
      <c r="F592" s="3" t="s">
        <v>4</v>
      </c>
      <c r="G592" s="3"/>
    </row>
    <row r="593" spans="1:7" x14ac:dyDescent="0.15">
      <c r="A593" s="2">
        <v>591</v>
      </c>
      <c r="B593" s="3" t="str">
        <f>"龚朴"</f>
        <v>龚朴</v>
      </c>
      <c r="C593" s="3" t="str">
        <f>"男        "</f>
        <v xml:space="preserve">男        </v>
      </c>
      <c r="D593" s="3" t="str">
        <f>"德宏师范高等专科学校语文教育"</f>
        <v>德宏师范高等专科学校语文教育</v>
      </c>
      <c r="E593" s="3" t="s">
        <v>10</v>
      </c>
      <c r="F593" s="3" t="s">
        <v>4</v>
      </c>
      <c r="G593" s="3"/>
    </row>
    <row r="594" spans="1:7" x14ac:dyDescent="0.15">
      <c r="A594" s="2">
        <v>592</v>
      </c>
      <c r="B594" s="3" t="str">
        <f>"黄娜"</f>
        <v>黄娜</v>
      </c>
      <c r="C594" s="3" t="str">
        <f>"女        "</f>
        <v xml:space="preserve">女        </v>
      </c>
      <c r="D594" s="3" t="str">
        <f>"保山学院教育技术学"</f>
        <v>保山学院教育技术学</v>
      </c>
      <c r="E594" s="3" t="str">
        <f t="shared" ref="E594:E595" si="94">"本科"</f>
        <v>本科</v>
      </c>
      <c r="F594" s="3" t="s">
        <v>9</v>
      </c>
      <c r="G594" s="3"/>
    </row>
    <row r="595" spans="1:7" x14ac:dyDescent="0.15">
      <c r="A595" s="2">
        <v>593</v>
      </c>
      <c r="B595" s="3" t="str">
        <f>"农兰芳"</f>
        <v>农兰芳</v>
      </c>
      <c r="C595" s="3" t="str">
        <f>"女        "</f>
        <v xml:space="preserve">女        </v>
      </c>
      <c r="D595" s="3" t="str">
        <f>"广西民族大学相思湖学院英语"</f>
        <v>广西民族大学相思湖学院英语</v>
      </c>
      <c r="E595" s="3" t="str">
        <f t="shared" si="94"/>
        <v>本科</v>
      </c>
      <c r="F595" s="3" t="s">
        <v>6</v>
      </c>
      <c r="G595" s="3"/>
    </row>
    <row r="596" spans="1:7" x14ac:dyDescent="0.15">
      <c r="A596" s="2">
        <v>594</v>
      </c>
      <c r="B596" s="3" t="str">
        <f>"陶书艳"</f>
        <v>陶书艳</v>
      </c>
      <c r="C596" s="3" t="str">
        <f>"女        "</f>
        <v xml:space="preserve">女        </v>
      </c>
      <c r="D596" s="3" t="str">
        <f>"德宏师范高等专科学校语文教育"</f>
        <v>德宏师范高等专科学校语文教育</v>
      </c>
      <c r="E596" s="3" t="s">
        <v>10</v>
      </c>
      <c r="F596" s="3" t="s">
        <v>4</v>
      </c>
      <c r="G596" s="3"/>
    </row>
    <row r="597" spans="1:7" x14ac:dyDescent="0.15">
      <c r="A597" s="2">
        <v>595</v>
      </c>
      <c r="B597" s="3" t="str">
        <f>"张宇"</f>
        <v>张宇</v>
      </c>
      <c r="C597" s="3" t="str">
        <f>"女        "</f>
        <v xml:space="preserve">女        </v>
      </c>
      <c r="D597" s="3" t="str">
        <f>"普洱学院思想政治教育"</f>
        <v>普洱学院思想政治教育</v>
      </c>
      <c r="E597" s="3" t="s">
        <v>10</v>
      </c>
      <c r="F597" s="3" t="s">
        <v>4</v>
      </c>
      <c r="G597" s="3"/>
    </row>
    <row r="598" spans="1:7" x14ac:dyDescent="0.15">
      <c r="A598" s="2">
        <v>596</v>
      </c>
      <c r="B598" s="3" t="str">
        <f>"刘宏升"</f>
        <v>刘宏升</v>
      </c>
      <c r="C598" s="3" t="str">
        <f>"男        "</f>
        <v xml:space="preserve">男        </v>
      </c>
      <c r="D598" s="3" t="str">
        <f>"文山学院汉语言文学"</f>
        <v>文山学院汉语言文学</v>
      </c>
      <c r="E598" s="3" t="str">
        <f t="shared" ref="E598:E599" si="95">"本科"</f>
        <v>本科</v>
      </c>
      <c r="F598" s="3" t="s">
        <v>4</v>
      </c>
      <c r="G598" s="3"/>
    </row>
    <row r="599" spans="1:7" x14ac:dyDescent="0.15">
      <c r="A599" s="2">
        <v>597</v>
      </c>
      <c r="B599" s="3" t="str">
        <f>"谭艾纱"</f>
        <v>谭艾纱</v>
      </c>
      <c r="C599" s="3" t="str">
        <f t="shared" ref="C599:C604" si="96">"女        "</f>
        <v xml:space="preserve">女        </v>
      </c>
      <c r="D599" s="3" t="str">
        <f>"中南林业科技大学国际经济与贸易"</f>
        <v>中南林业科技大学国际经济与贸易</v>
      </c>
      <c r="E599" s="3" t="str">
        <f t="shared" si="95"/>
        <v>本科</v>
      </c>
      <c r="F599" s="3" t="s">
        <v>5</v>
      </c>
      <c r="G599" s="3"/>
    </row>
    <row r="600" spans="1:7" x14ac:dyDescent="0.15">
      <c r="A600" s="2">
        <v>598</v>
      </c>
      <c r="B600" s="3" t="str">
        <f>"黄玉媚"</f>
        <v>黄玉媚</v>
      </c>
      <c r="C600" s="3" t="str">
        <f t="shared" si="96"/>
        <v xml:space="preserve">女        </v>
      </c>
      <c r="D600" s="3" t="str">
        <f>"广西科技师范学院学前教育"</f>
        <v>广西科技师范学院学前教育</v>
      </c>
      <c r="E600" s="3" t="s">
        <v>10</v>
      </c>
      <c r="F600" s="3" t="s">
        <v>5</v>
      </c>
      <c r="G600" s="3"/>
    </row>
    <row r="601" spans="1:7" x14ac:dyDescent="0.15">
      <c r="A601" s="2">
        <v>599</v>
      </c>
      <c r="B601" s="3" t="str">
        <f>"岑竺晓"</f>
        <v>岑竺晓</v>
      </c>
      <c r="C601" s="3" t="str">
        <f t="shared" si="96"/>
        <v xml:space="preserve">女        </v>
      </c>
      <c r="D601" s="3" t="str">
        <f>"百色学院学期教育"</f>
        <v>百色学院学期教育</v>
      </c>
      <c r="E601" s="3" t="s">
        <v>10</v>
      </c>
      <c r="F601" s="3" t="s">
        <v>4</v>
      </c>
      <c r="G601" s="3"/>
    </row>
    <row r="602" spans="1:7" x14ac:dyDescent="0.15">
      <c r="A602" s="2">
        <v>600</v>
      </c>
      <c r="B602" s="3" t="str">
        <f>"蒙丽宁"</f>
        <v>蒙丽宁</v>
      </c>
      <c r="C602" s="3" t="str">
        <f t="shared" si="96"/>
        <v xml:space="preserve">女        </v>
      </c>
      <c r="D602" s="3" t="str">
        <f>"西南大学育才学院经济学"</f>
        <v>西南大学育才学院经济学</v>
      </c>
      <c r="E602" s="3" t="str">
        <f>"本科"</f>
        <v>本科</v>
      </c>
      <c r="F602" s="3" t="s">
        <v>5</v>
      </c>
      <c r="G602" s="3"/>
    </row>
    <row r="603" spans="1:7" x14ac:dyDescent="0.15">
      <c r="A603" s="2">
        <v>601</v>
      </c>
      <c r="B603" s="3" t="str">
        <f>"周春方"</f>
        <v>周春方</v>
      </c>
      <c r="C603" s="3" t="str">
        <f t="shared" si="96"/>
        <v xml:space="preserve">女        </v>
      </c>
      <c r="D603" s="3" t="str">
        <f>"广西幼儿师范高等专科学校英语教育学前教育方向"</f>
        <v>广西幼儿师范高等专科学校英语教育学前教育方向</v>
      </c>
      <c r="E603" s="3" t="s">
        <v>10</v>
      </c>
      <c r="F603" s="3" t="s">
        <v>4</v>
      </c>
      <c r="G603" s="3"/>
    </row>
    <row r="604" spans="1:7" x14ac:dyDescent="0.15">
      <c r="A604" s="2">
        <v>602</v>
      </c>
      <c r="B604" s="3" t="str">
        <f>"王张静"</f>
        <v>王张静</v>
      </c>
      <c r="C604" s="3" t="str">
        <f t="shared" si="96"/>
        <v xml:space="preserve">女        </v>
      </c>
      <c r="D604" s="3" t="str">
        <f>"德宏师范高等专科学校初等教育文科"</f>
        <v>德宏师范高等专科学校初等教育文科</v>
      </c>
      <c r="E604" s="3" t="s">
        <v>10</v>
      </c>
      <c r="F604" s="3" t="s">
        <v>4</v>
      </c>
      <c r="G604" s="3"/>
    </row>
    <row r="605" spans="1:7" x14ac:dyDescent="0.15">
      <c r="A605" s="2">
        <v>603</v>
      </c>
      <c r="B605" s="3" t="str">
        <f>"黄峰"</f>
        <v>黄峰</v>
      </c>
      <c r="C605" s="3" t="str">
        <f>"男        "</f>
        <v xml:space="preserve">男        </v>
      </c>
      <c r="D605" s="3" t="str">
        <f>"广西师范大学漓江学院汉语言文学"</f>
        <v>广西师范大学漓江学院汉语言文学</v>
      </c>
      <c r="E605" s="3" t="str">
        <f t="shared" ref="E605:E607" si="97">"本科"</f>
        <v>本科</v>
      </c>
      <c r="F605" s="3" t="s">
        <v>4</v>
      </c>
      <c r="G605" s="3"/>
    </row>
    <row r="606" spans="1:7" x14ac:dyDescent="0.15">
      <c r="A606" s="2">
        <v>604</v>
      </c>
      <c r="B606" s="3" t="str">
        <f>"韦玲"</f>
        <v>韦玲</v>
      </c>
      <c r="C606" s="3" t="str">
        <f>"女        "</f>
        <v xml:space="preserve">女        </v>
      </c>
      <c r="D606" s="3" t="str">
        <f>"云南师范大学文理学院英语"</f>
        <v>云南师范大学文理学院英语</v>
      </c>
      <c r="E606" s="3" t="str">
        <f t="shared" si="97"/>
        <v>本科</v>
      </c>
      <c r="F606" s="3" t="s">
        <v>6</v>
      </c>
      <c r="G606" s="3"/>
    </row>
    <row r="607" spans="1:7" x14ac:dyDescent="0.15">
      <c r="A607" s="2">
        <v>605</v>
      </c>
      <c r="B607" s="3" t="str">
        <f>"黄正富"</f>
        <v>黄正富</v>
      </c>
      <c r="C607" s="3" t="str">
        <f>"男        "</f>
        <v xml:space="preserve">男        </v>
      </c>
      <c r="D607" s="3" t="str">
        <f>"广西师范学院公共事业管理"</f>
        <v>广西师范学院公共事业管理</v>
      </c>
      <c r="E607" s="3" t="str">
        <f t="shared" si="97"/>
        <v>本科</v>
      </c>
      <c r="F607" s="3" t="s">
        <v>4</v>
      </c>
      <c r="G607" s="3"/>
    </row>
    <row r="608" spans="1:7" x14ac:dyDescent="0.15">
      <c r="A608" s="2">
        <v>606</v>
      </c>
      <c r="B608" s="3" t="str">
        <f>"莫爱环"</f>
        <v>莫爱环</v>
      </c>
      <c r="C608" s="3" t="str">
        <f>"女        "</f>
        <v xml:space="preserve">女        </v>
      </c>
      <c r="D608" s="3" t="str">
        <f>"南宁地区教育学院语文教育"</f>
        <v>南宁地区教育学院语文教育</v>
      </c>
      <c r="E608" s="3" t="s">
        <v>10</v>
      </c>
      <c r="F608" s="3" t="s">
        <v>4</v>
      </c>
      <c r="G608" s="3"/>
    </row>
    <row r="609" spans="1:7" x14ac:dyDescent="0.15">
      <c r="A609" s="2">
        <v>607</v>
      </c>
      <c r="B609" s="3" t="str">
        <f>"高意青"</f>
        <v>高意青</v>
      </c>
      <c r="C609" s="3" t="str">
        <f>"女        "</f>
        <v xml:space="preserve">女        </v>
      </c>
      <c r="D609" s="3" t="str">
        <f>"德宏师范高等专科学校语文教育"</f>
        <v>德宏师范高等专科学校语文教育</v>
      </c>
      <c r="E609" s="3" t="s">
        <v>10</v>
      </c>
      <c r="F609" s="3" t="s">
        <v>4</v>
      </c>
      <c r="G609" s="3"/>
    </row>
    <row r="610" spans="1:7" x14ac:dyDescent="0.15">
      <c r="A610" s="2">
        <v>608</v>
      </c>
      <c r="B610" s="3" t="str">
        <f>"何金仙"</f>
        <v>何金仙</v>
      </c>
      <c r="C610" s="3" t="str">
        <f>"女        "</f>
        <v xml:space="preserve">女        </v>
      </c>
      <c r="D610" s="3" t="str">
        <f>"柳州师范高等专科学校音乐教育"</f>
        <v>柳州师范高等专科学校音乐教育</v>
      </c>
      <c r="E610" s="3" t="s">
        <v>10</v>
      </c>
      <c r="F610" s="3" t="s">
        <v>4</v>
      </c>
      <c r="G610" s="3"/>
    </row>
    <row r="611" spans="1:7" x14ac:dyDescent="0.15">
      <c r="A611" s="2">
        <v>609</v>
      </c>
      <c r="B611" s="3" t="str">
        <f>"罗美丽"</f>
        <v>罗美丽</v>
      </c>
      <c r="C611" s="3" t="str">
        <f>"女        "</f>
        <v xml:space="preserve">女        </v>
      </c>
      <c r="D611" s="3" t="str">
        <f>"桂林师范高等专科学校汉语"</f>
        <v>桂林师范高等专科学校汉语</v>
      </c>
      <c r="E611" s="3" t="s">
        <v>10</v>
      </c>
      <c r="F611" s="3" t="s">
        <v>4</v>
      </c>
      <c r="G611" s="3"/>
    </row>
    <row r="612" spans="1:7" x14ac:dyDescent="0.15">
      <c r="A612" s="2">
        <v>610</v>
      </c>
      <c r="B612" s="3" t="str">
        <f>"白玲"</f>
        <v>白玲</v>
      </c>
      <c r="C612" s="3" t="str">
        <f>"女        "</f>
        <v xml:space="preserve">女        </v>
      </c>
      <c r="D612" s="3" t="str">
        <f>"德宏师范高等专科学校语文教育"</f>
        <v>德宏师范高等专科学校语文教育</v>
      </c>
      <c r="E612" s="3" t="s">
        <v>10</v>
      </c>
      <c r="F612" s="3" t="s">
        <v>4</v>
      </c>
      <c r="G612" s="3"/>
    </row>
    <row r="613" spans="1:7" x14ac:dyDescent="0.15">
      <c r="A613" s="2">
        <v>611</v>
      </c>
      <c r="B613" s="3" t="str">
        <f>"袁常伟"</f>
        <v>袁常伟</v>
      </c>
      <c r="C613" s="3" t="str">
        <f>"男        "</f>
        <v xml:space="preserve">男        </v>
      </c>
      <c r="D613" s="3" t="str">
        <f>"兴义民族师范学院语文教育"</f>
        <v>兴义民族师范学院语文教育</v>
      </c>
      <c r="E613" s="3" t="s">
        <v>10</v>
      </c>
      <c r="F613" s="3" t="s">
        <v>4</v>
      </c>
      <c r="G613" s="3"/>
    </row>
    <row r="614" spans="1:7" x14ac:dyDescent="0.15">
      <c r="A614" s="2">
        <v>612</v>
      </c>
      <c r="B614" s="3" t="str">
        <f>"蒙智然"</f>
        <v>蒙智然</v>
      </c>
      <c r="C614" s="3" t="str">
        <f t="shared" ref="C614:C622" si="98">"女        "</f>
        <v xml:space="preserve">女        </v>
      </c>
      <c r="D614" s="3" t="str">
        <f>"丽江师范高等专科学校语文教育"</f>
        <v>丽江师范高等专科学校语文教育</v>
      </c>
      <c r="E614" s="3" t="s">
        <v>10</v>
      </c>
      <c r="F614" s="3" t="s">
        <v>4</v>
      </c>
      <c r="G614" s="3"/>
    </row>
    <row r="615" spans="1:7" x14ac:dyDescent="0.15">
      <c r="A615" s="2">
        <v>613</v>
      </c>
      <c r="B615" s="3" t="str">
        <f>"刘小红"</f>
        <v>刘小红</v>
      </c>
      <c r="C615" s="3" t="str">
        <f t="shared" si="98"/>
        <v xml:space="preserve">女        </v>
      </c>
      <c r="D615" s="3" t="str">
        <f>"桂林师范高等专科学校语文教育"</f>
        <v>桂林师范高等专科学校语文教育</v>
      </c>
      <c r="E615" s="3" t="s">
        <v>10</v>
      </c>
      <c r="F615" s="3" t="s">
        <v>4</v>
      </c>
      <c r="G615" s="3"/>
    </row>
    <row r="616" spans="1:7" x14ac:dyDescent="0.15">
      <c r="A616" s="2">
        <v>614</v>
      </c>
      <c r="B616" s="3" t="str">
        <f>"卢肖群"</f>
        <v>卢肖群</v>
      </c>
      <c r="C616" s="3" t="str">
        <f t="shared" si="98"/>
        <v xml:space="preserve">女        </v>
      </c>
      <c r="D616" s="3" t="str">
        <f>"广西师范大学秘书学"</f>
        <v>广西师范大学秘书学</v>
      </c>
      <c r="E616" s="3" t="str">
        <f>"本科"</f>
        <v>本科</v>
      </c>
      <c r="F616" s="3" t="s">
        <v>4</v>
      </c>
      <c r="G616" s="3"/>
    </row>
    <row r="617" spans="1:7" x14ac:dyDescent="0.15">
      <c r="A617" s="2">
        <v>615</v>
      </c>
      <c r="B617" s="3" t="str">
        <f>"王振余"</f>
        <v>王振余</v>
      </c>
      <c r="C617" s="3" t="str">
        <f t="shared" si="98"/>
        <v xml:space="preserve">女        </v>
      </c>
      <c r="D617" s="3" t="str">
        <f>"德宏师范高等专科学校数学教育"</f>
        <v>德宏师范高等专科学校数学教育</v>
      </c>
      <c r="E617" s="3" t="s">
        <v>10</v>
      </c>
      <c r="F617" s="3" t="s">
        <v>5</v>
      </c>
      <c r="G617" s="3"/>
    </row>
    <row r="618" spans="1:7" x14ac:dyDescent="0.15">
      <c r="A618" s="2">
        <v>616</v>
      </c>
      <c r="B618" s="3" t="str">
        <f>"王丽"</f>
        <v>王丽</v>
      </c>
      <c r="C618" s="3" t="str">
        <f t="shared" si="98"/>
        <v xml:space="preserve">女        </v>
      </c>
      <c r="D618" s="3" t="str">
        <f>"毕节学院人力资源管理"</f>
        <v>毕节学院人力资源管理</v>
      </c>
      <c r="E618" s="3" t="str">
        <f t="shared" ref="E618:E619" si="99">"本科"</f>
        <v>本科</v>
      </c>
      <c r="F618" s="3" t="s">
        <v>4</v>
      </c>
      <c r="G618" s="3"/>
    </row>
    <row r="619" spans="1:7" x14ac:dyDescent="0.15">
      <c r="A619" s="2">
        <v>617</v>
      </c>
      <c r="B619" s="3" t="str">
        <f>"陆月化"</f>
        <v>陆月化</v>
      </c>
      <c r="C619" s="3" t="str">
        <f t="shared" si="98"/>
        <v xml:space="preserve">女        </v>
      </c>
      <c r="D619" s="3" t="str">
        <f>"玉林师范学院数学与应用数学"</f>
        <v>玉林师范学院数学与应用数学</v>
      </c>
      <c r="E619" s="3" t="str">
        <f t="shared" si="99"/>
        <v>本科</v>
      </c>
      <c r="F619" s="3" t="s">
        <v>5</v>
      </c>
      <c r="G619" s="3"/>
    </row>
    <row r="620" spans="1:7" x14ac:dyDescent="0.15">
      <c r="A620" s="2">
        <v>618</v>
      </c>
      <c r="B620" s="3" t="str">
        <f>"陆汉芝"</f>
        <v>陆汉芝</v>
      </c>
      <c r="C620" s="3" t="str">
        <f t="shared" si="98"/>
        <v xml:space="preserve">女        </v>
      </c>
      <c r="D620" s="3" t="str">
        <f>"西双版纳职业技术技术学院语文教育"</f>
        <v>西双版纳职业技术技术学院语文教育</v>
      </c>
      <c r="E620" s="3" t="s">
        <v>10</v>
      </c>
      <c r="F620" s="3" t="s">
        <v>4</v>
      </c>
      <c r="G620" s="3"/>
    </row>
    <row r="621" spans="1:7" x14ac:dyDescent="0.15">
      <c r="A621" s="2">
        <v>619</v>
      </c>
      <c r="B621" s="3" t="str">
        <f>"陈菲"</f>
        <v>陈菲</v>
      </c>
      <c r="C621" s="3" t="str">
        <f t="shared" si="98"/>
        <v xml:space="preserve">女        </v>
      </c>
      <c r="D621" s="3" t="str">
        <f>"丽江师范高等专科学校英语教育"</f>
        <v>丽江师范高等专科学校英语教育</v>
      </c>
      <c r="E621" s="3" t="s">
        <v>10</v>
      </c>
      <c r="F621" s="3" t="s">
        <v>6</v>
      </c>
      <c r="G621" s="3"/>
    </row>
    <row r="622" spans="1:7" x14ac:dyDescent="0.15">
      <c r="A622" s="2">
        <v>620</v>
      </c>
      <c r="B622" s="3" t="str">
        <f>"何兴媛"</f>
        <v>何兴媛</v>
      </c>
      <c r="C622" s="3" t="str">
        <f t="shared" si="98"/>
        <v xml:space="preserve">女        </v>
      </c>
      <c r="D622" s="3" t="str">
        <f>"曲靖师范学院人文地理与城乡规划"</f>
        <v>曲靖师范学院人文地理与城乡规划</v>
      </c>
      <c r="E622" s="3" t="str">
        <f t="shared" ref="E622:E623" si="100">"本科"</f>
        <v>本科</v>
      </c>
      <c r="F622" s="3" t="s">
        <v>5</v>
      </c>
      <c r="G622" s="3"/>
    </row>
    <row r="623" spans="1:7" x14ac:dyDescent="0.15">
      <c r="A623" s="2">
        <v>621</v>
      </c>
      <c r="B623" s="3" t="str">
        <f>"黄晓鸣"</f>
        <v>黄晓鸣</v>
      </c>
      <c r="C623" s="3" t="str">
        <f>"男        "</f>
        <v xml:space="preserve">男        </v>
      </c>
      <c r="D623" s="3" t="str">
        <f>"广西民族师范学院行政管理"</f>
        <v>广西民族师范学院行政管理</v>
      </c>
      <c r="E623" s="3" t="str">
        <f t="shared" si="100"/>
        <v>本科</v>
      </c>
      <c r="F623" s="3" t="s">
        <v>4</v>
      </c>
      <c r="G623" s="3"/>
    </row>
    <row r="624" spans="1:7" x14ac:dyDescent="0.15">
      <c r="A624" s="2">
        <v>622</v>
      </c>
      <c r="B624" s="3" t="str">
        <f>"罗彩虹"</f>
        <v>罗彩虹</v>
      </c>
      <c r="C624" s="3" t="str">
        <f>"女        "</f>
        <v xml:space="preserve">女        </v>
      </c>
      <c r="D624" s="3" t="str">
        <f>"广西幼儿师范高等专科学校语文教育"</f>
        <v>广西幼儿师范高等专科学校语文教育</v>
      </c>
      <c r="E624" s="3" t="s">
        <v>10</v>
      </c>
      <c r="F624" s="3" t="s">
        <v>4</v>
      </c>
      <c r="G624" s="3"/>
    </row>
    <row r="625" spans="1:7" x14ac:dyDescent="0.15">
      <c r="A625" s="2">
        <v>623</v>
      </c>
      <c r="B625" s="3" t="str">
        <f>"陶敏"</f>
        <v>陶敏</v>
      </c>
      <c r="C625" s="3" t="str">
        <f>"女        "</f>
        <v xml:space="preserve">女        </v>
      </c>
      <c r="D625" s="3" t="str">
        <f>"德宏师范高等专科学校初等教育"</f>
        <v>德宏师范高等专科学校初等教育</v>
      </c>
      <c r="E625" s="3" t="s">
        <v>10</v>
      </c>
      <c r="F625" s="3" t="s">
        <v>5</v>
      </c>
      <c r="G625" s="3"/>
    </row>
    <row r="626" spans="1:7" x14ac:dyDescent="0.15">
      <c r="A626" s="2">
        <v>624</v>
      </c>
      <c r="B626" s="3" t="str">
        <f>"莫晓"</f>
        <v>莫晓</v>
      </c>
      <c r="C626" s="3" t="str">
        <f>"男        "</f>
        <v xml:space="preserve">男        </v>
      </c>
      <c r="D626" s="3" t="str">
        <f>"广西科技大学机械工程及自动化"</f>
        <v>广西科技大学机械工程及自动化</v>
      </c>
      <c r="E626" s="3" t="str">
        <f t="shared" ref="E626:E627" si="101">"本科"</f>
        <v>本科</v>
      </c>
      <c r="F626" s="3" t="s">
        <v>5</v>
      </c>
      <c r="G626" s="3"/>
    </row>
    <row r="627" spans="1:7" x14ac:dyDescent="0.15">
      <c r="A627" s="2">
        <v>625</v>
      </c>
      <c r="B627" s="3" t="str">
        <f>"陆农芬"</f>
        <v>陆农芬</v>
      </c>
      <c r="C627" s="3" t="str">
        <f t="shared" ref="C627:C633" si="102">"女        "</f>
        <v xml:space="preserve">女        </v>
      </c>
      <c r="D627" s="3" t="str">
        <f>"西南林业大学旅游管理"</f>
        <v>西南林业大学旅游管理</v>
      </c>
      <c r="E627" s="3" t="str">
        <f t="shared" si="101"/>
        <v>本科</v>
      </c>
      <c r="F627" s="3" t="s">
        <v>4</v>
      </c>
      <c r="G627" s="3"/>
    </row>
    <row r="628" spans="1:7" x14ac:dyDescent="0.15">
      <c r="A628" s="2">
        <v>626</v>
      </c>
      <c r="B628" s="3" t="str">
        <f>"梁艳珍"</f>
        <v>梁艳珍</v>
      </c>
      <c r="C628" s="3" t="str">
        <f t="shared" si="102"/>
        <v xml:space="preserve">女        </v>
      </c>
      <c r="D628" s="3" t="str">
        <f>"南宁地区教育学院语文教育"</f>
        <v>南宁地区教育学院语文教育</v>
      </c>
      <c r="E628" s="3" t="s">
        <v>10</v>
      </c>
      <c r="F628" s="3" t="s">
        <v>4</v>
      </c>
      <c r="G628" s="3"/>
    </row>
    <row r="629" spans="1:7" x14ac:dyDescent="0.15">
      <c r="A629" s="2">
        <v>627</v>
      </c>
      <c r="B629" s="3" t="str">
        <f>"梁凤敏"</f>
        <v>梁凤敏</v>
      </c>
      <c r="C629" s="3" t="str">
        <f t="shared" si="102"/>
        <v xml:space="preserve">女        </v>
      </c>
      <c r="D629" s="3" t="str">
        <f>"广西师范学院市场营销"</f>
        <v>广西师范学院市场营销</v>
      </c>
      <c r="E629" s="3" t="str">
        <f>"本科"</f>
        <v>本科</v>
      </c>
      <c r="F629" s="3" t="s">
        <v>4</v>
      </c>
      <c r="G629" s="3"/>
    </row>
    <row r="630" spans="1:7" x14ac:dyDescent="0.15">
      <c r="A630" s="2">
        <v>628</v>
      </c>
      <c r="B630" s="3" t="str">
        <f>"付百书"</f>
        <v>付百书</v>
      </c>
      <c r="C630" s="3" t="str">
        <f t="shared" si="102"/>
        <v xml:space="preserve">女        </v>
      </c>
      <c r="D630" s="3" t="str">
        <f>"文山学院初等教育文科"</f>
        <v>文山学院初等教育文科</v>
      </c>
      <c r="E630" s="3" t="s">
        <v>10</v>
      </c>
      <c r="F630" s="3" t="s">
        <v>4</v>
      </c>
      <c r="G630" s="3"/>
    </row>
    <row r="631" spans="1:7" x14ac:dyDescent="0.15">
      <c r="A631" s="2">
        <v>629</v>
      </c>
      <c r="B631" s="3" t="str">
        <f>"梁筱忆"</f>
        <v>梁筱忆</v>
      </c>
      <c r="C631" s="3" t="str">
        <f t="shared" si="102"/>
        <v xml:space="preserve">女        </v>
      </c>
      <c r="D631" s="3" t="str">
        <f>"贺州学院对外汉语"</f>
        <v>贺州学院对外汉语</v>
      </c>
      <c r="E631" s="3" t="str">
        <f>"本科"</f>
        <v>本科</v>
      </c>
      <c r="F631" s="3" t="s">
        <v>4</v>
      </c>
      <c r="G631" s="3"/>
    </row>
    <row r="632" spans="1:7" x14ac:dyDescent="0.15">
      <c r="A632" s="2">
        <v>630</v>
      </c>
      <c r="B632" s="3" t="str">
        <f>"窦丽娅"</f>
        <v>窦丽娅</v>
      </c>
      <c r="C632" s="3" t="str">
        <f t="shared" si="102"/>
        <v xml:space="preserve">女        </v>
      </c>
      <c r="D632" s="3" t="str">
        <f>"临沧师范高等专科学校语文教育专业"</f>
        <v>临沧师范高等专科学校语文教育专业</v>
      </c>
      <c r="E632" s="3" t="s">
        <v>10</v>
      </c>
      <c r="F632" s="3" t="s">
        <v>4</v>
      </c>
      <c r="G632" s="3"/>
    </row>
    <row r="633" spans="1:7" x14ac:dyDescent="0.15">
      <c r="A633" s="2">
        <v>631</v>
      </c>
      <c r="B633" s="3" t="str">
        <f>"陆爱月"</f>
        <v>陆爱月</v>
      </c>
      <c r="C633" s="3" t="str">
        <f t="shared" si="102"/>
        <v xml:space="preserve">女        </v>
      </c>
      <c r="D633" s="3" t="str">
        <f>"广西民族师范学院汉语言文学"</f>
        <v>广西民族师范学院汉语言文学</v>
      </c>
      <c r="E633" s="3" t="str">
        <f>"本科"</f>
        <v>本科</v>
      </c>
      <c r="F633" s="3" t="s">
        <v>4</v>
      </c>
      <c r="G633" s="3"/>
    </row>
    <row r="634" spans="1:7" x14ac:dyDescent="0.15">
      <c r="A634" s="2">
        <v>632</v>
      </c>
      <c r="B634" s="3" t="str">
        <f>"杨豪丞"</f>
        <v>杨豪丞</v>
      </c>
      <c r="C634" s="3" t="str">
        <f>"男        "</f>
        <v xml:space="preserve">男        </v>
      </c>
      <c r="D634" s="3" t="str">
        <f>"普洱学院思想政治教育"</f>
        <v>普洱学院思想政治教育</v>
      </c>
      <c r="E634" s="3" t="s">
        <v>10</v>
      </c>
      <c r="F634" s="3" t="s">
        <v>4</v>
      </c>
      <c r="G634" s="3"/>
    </row>
    <row r="635" spans="1:7" x14ac:dyDescent="0.15">
      <c r="A635" s="2">
        <v>633</v>
      </c>
      <c r="B635" s="3" t="str">
        <f>"陈胜金"</f>
        <v>陈胜金</v>
      </c>
      <c r="C635" s="3" t="str">
        <f>"男        "</f>
        <v xml:space="preserve">男        </v>
      </c>
      <c r="D635" s="3" t="str">
        <f>"兴义民族师范学院语文教育"</f>
        <v>兴义民族师范学院语文教育</v>
      </c>
      <c r="E635" s="3" t="s">
        <v>10</v>
      </c>
      <c r="F635" s="3" t="s">
        <v>4</v>
      </c>
      <c r="G635" s="3"/>
    </row>
    <row r="636" spans="1:7" x14ac:dyDescent="0.15">
      <c r="A636" s="2">
        <v>634</v>
      </c>
      <c r="B636" s="3" t="str">
        <f>"左蓉"</f>
        <v>左蓉</v>
      </c>
      <c r="C636" s="3" t="str">
        <f>"女        "</f>
        <v xml:space="preserve">女        </v>
      </c>
      <c r="D636" s="3" t="str">
        <f>"滇西科技师范学院语文教育"</f>
        <v>滇西科技师范学院语文教育</v>
      </c>
      <c r="E636" s="3" t="s">
        <v>10</v>
      </c>
      <c r="F636" s="3" t="s">
        <v>4</v>
      </c>
      <c r="G636" s="3"/>
    </row>
    <row r="637" spans="1:7" x14ac:dyDescent="0.15">
      <c r="A637" s="2">
        <v>635</v>
      </c>
      <c r="B637" s="3" t="str">
        <f>"曾智金"</f>
        <v>曾智金</v>
      </c>
      <c r="C637" s="3" t="str">
        <f>"男        "</f>
        <v xml:space="preserve">男        </v>
      </c>
      <c r="D637" s="3" t="str">
        <f>"云南农业大学农学"</f>
        <v>云南农业大学农学</v>
      </c>
      <c r="E637" s="3" t="str">
        <f>"本科"</f>
        <v>本科</v>
      </c>
      <c r="F637" s="3" t="s">
        <v>5</v>
      </c>
      <c r="G637" s="3"/>
    </row>
    <row r="638" spans="1:7" x14ac:dyDescent="0.15">
      <c r="A638" s="2">
        <v>636</v>
      </c>
      <c r="B638" s="3" t="str">
        <f>"滕正宇"</f>
        <v>滕正宇</v>
      </c>
      <c r="C638" s="3" t="str">
        <f>"男        "</f>
        <v xml:space="preserve">男        </v>
      </c>
      <c r="D638" s="3" t="str">
        <f>"广西科技师范学院数学教育"</f>
        <v>广西科技师范学院数学教育</v>
      </c>
      <c r="E638" s="3" t="s">
        <v>10</v>
      </c>
      <c r="F638" s="3" t="s">
        <v>5</v>
      </c>
      <c r="G638" s="3"/>
    </row>
    <row r="639" spans="1:7" x14ac:dyDescent="0.15">
      <c r="A639" s="2">
        <v>637</v>
      </c>
      <c r="B639" s="3" t="str">
        <f>"何文圆"</f>
        <v>何文圆</v>
      </c>
      <c r="C639" s="3" t="str">
        <f>"女        "</f>
        <v xml:space="preserve">女        </v>
      </c>
      <c r="D639" s="3" t="str">
        <f>"广西幼儿师范高等专科学校语文教育"</f>
        <v>广西幼儿师范高等专科学校语文教育</v>
      </c>
      <c r="E639" s="3" t="s">
        <v>10</v>
      </c>
      <c r="F639" s="3" t="s">
        <v>4</v>
      </c>
      <c r="G639" s="3"/>
    </row>
    <row r="640" spans="1:7" x14ac:dyDescent="0.15">
      <c r="A640" s="2">
        <v>638</v>
      </c>
      <c r="B640" s="3" t="str">
        <f>"罗浪"</f>
        <v>罗浪</v>
      </c>
      <c r="C640" s="3" t="str">
        <f>"男        "</f>
        <v xml:space="preserve">男        </v>
      </c>
      <c r="D640" s="3" t="str">
        <f>"北方民族大学体育教育"</f>
        <v>北方民族大学体育教育</v>
      </c>
      <c r="E640" s="3" t="str">
        <f>"本科"</f>
        <v>本科</v>
      </c>
      <c r="F640" s="3" t="s">
        <v>7</v>
      </c>
      <c r="G640" s="3"/>
    </row>
    <row r="641" spans="1:7" x14ac:dyDescent="0.15">
      <c r="A641" s="2">
        <v>639</v>
      </c>
      <c r="B641" s="3" t="str">
        <f>"杨绍娜"</f>
        <v>杨绍娜</v>
      </c>
      <c r="C641" s="3" t="str">
        <f>"女        "</f>
        <v xml:space="preserve">女        </v>
      </c>
      <c r="D641" s="3" t="str">
        <f>"滇西科技师范学院语文教育"</f>
        <v>滇西科技师范学院语文教育</v>
      </c>
      <c r="E641" s="3" t="s">
        <v>10</v>
      </c>
      <c r="F641" s="3" t="s">
        <v>4</v>
      </c>
      <c r="G641" s="3"/>
    </row>
    <row r="642" spans="1:7" x14ac:dyDescent="0.15">
      <c r="A642" s="2">
        <v>640</v>
      </c>
      <c r="B642" s="3" t="str">
        <f>"阮清晶"</f>
        <v>阮清晶</v>
      </c>
      <c r="C642" s="3" t="str">
        <f>"女        "</f>
        <v xml:space="preserve">女        </v>
      </c>
      <c r="D642" s="3" t="str">
        <f>"广西外国语学院播音与主持艺术"</f>
        <v>广西外国语学院播音与主持艺术</v>
      </c>
      <c r="E642" s="3" t="str">
        <f>"本科"</f>
        <v>本科</v>
      </c>
      <c r="F642" s="3" t="s">
        <v>4</v>
      </c>
      <c r="G642" s="3"/>
    </row>
    <row r="643" spans="1:7" x14ac:dyDescent="0.15">
      <c r="A643" s="2">
        <v>641</v>
      </c>
      <c r="B643" s="3" t="str">
        <f>"赵仁清"</f>
        <v>赵仁清</v>
      </c>
      <c r="C643" s="3" t="str">
        <f>"女        "</f>
        <v xml:space="preserve">女        </v>
      </c>
      <c r="D643" s="3" t="str">
        <f>"德宏师范高等专科学校民族传统体育"</f>
        <v>德宏师范高等专科学校民族传统体育</v>
      </c>
      <c r="E643" s="3" t="s">
        <v>10</v>
      </c>
      <c r="F643" s="3" t="s">
        <v>7</v>
      </c>
      <c r="G643" s="3"/>
    </row>
    <row r="644" spans="1:7" x14ac:dyDescent="0.15">
      <c r="A644" s="2">
        <v>642</v>
      </c>
      <c r="B644" s="3" t="str">
        <f>"曾启滔"</f>
        <v>曾启滔</v>
      </c>
      <c r="C644" s="3" t="str">
        <f>"男        "</f>
        <v xml:space="preserve">男        </v>
      </c>
      <c r="D644" s="3" t="str">
        <f>"广西科技大学理学院应用统计学"</f>
        <v>广西科技大学理学院应用统计学</v>
      </c>
      <c r="E644" s="3" t="str">
        <f>"本科"</f>
        <v>本科</v>
      </c>
      <c r="F644" s="3" t="s">
        <v>5</v>
      </c>
      <c r="G644" s="3"/>
    </row>
    <row r="645" spans="1:7" x14ac:dyDescent="0.15">
      <c r="A645" s="2">
        <v>643</v>
      </c>
      <c r="B645" s="3" t="str">
        <f>"黄映毓"</f>
        <v>黄映毓</v>
      </c>
      <c r="C645" s="3" t="str">
        <f>"女        "</f>
        <v xml:space="preserve">女        </v>
      </c>
      <c r="D645" s="3" t="str">
        <f>"百色学院综合文科教育"</f>
        <v>百色学院综合文科教育</v>
      </c>
      <c r="E645" s="3" t="s">
        <v>10</v>
      </c>
      <c r="F645" s="3" t="s">
        <v>4</v>
      </c>
      <c r="G645" s="3"/>
    </row>
    <row r="646" spans="1:7" x14ac:dyDescent="0.15">
      <c r="A646" s="2">
        <v>644</v>
      </c>
      <c r="B646" s="3" t="str">
        <f>"许月丽"</f>
        <v>许月丽</v>
      </c>
      <c r="C646" s="3" t="str">
        <f>"女        "</f>
        <v xml:space="preserve">女        </v>
      </c>
      <c r="D646" s="3" t="str">
        <f>"玉溪师范学院农业资源与环境"</f>
        <v>玉溪师范学院农业资源与环境</v>
      </c>
      <c r="E646" s="3" t="str">
        <f t="shared" ref="E646:E647" si="103">"本科"</f>
        <v>本科</v>
      </c>
      <c r="F646" s="3" t="s">
        <v>5</v>
      </c>
      <c r="G646" s="3"/>
    </row>
    <row r="647" spans="1:7" x14ac:dyDescent="0.15">
      <c r="A647" s="2">
        <v>645</v>
      </c>
      <c r="B647" s="3" t="str">
        <f>"卢相龙"</f>
        <v>卢相龙</v>
      </c>
      <c r="C647" s="3" t="str">
        <f>"女        "</f>
        <v xml:space="preserve">女        </v>
      </c>
      <c r="D647" s="3" t="str">
        <f>"广西师范学院师园学院学前教育"</f>
        <v>广西师范学院师园学院学前教育</v>
      </c>
      <c r="E647" s="3" t="str">
        <f t="shared" si="103"/>
        <v>本科</v>
      </c>
      <c r="F647" s="3" t="s">
        <v>4</v>
      </c>
      <c r="G647" s="3"/>
    </row>
    <row r="648" spans="1:7" x14ac:dyDescent="0.15">
      <c r="A648" s="2">
        <v>646</v>
      </c>
      <c r="B648" s="3" t="str">
        <f>"吴长凌"</f>
        <v>吴长凌</v>
      </c>
      <c r="C648" s="3" t="str">
        <f>"男        "</f>
        <v xml:space="preserve">男        </v>
      </c>
      <c r="D648" s="3" t="str">
        <f>"德宏师范高等专科学校历史教育"</f>
        <v>德宏师范高等专科学校历史教育</v>
      </c>
      <c r="E648" s="3" t="s">
        <v>10</v>
      </c>
      <c r="F648" s="3" t="s">
        <v>4</v>
      </c>
      <c r="G648" s="3"/>
    </row>
    <row r="649" spans="1:7" x14ac:dyDescent="0.15">
      <c r="A649" s="2">
        <v>647</v>
      </c>
      <c r="B649" s="3" t="str">
        <f>"杨秀彩"</f>
        <v>杨秀彩</v>
      </c>
      <c r="C649" s="3" t="str">
        <f>"女        "</f>
        <v xml:space="preserve">女        </v>
      </c>
      <c r="D649" s="3" t="str">
        <f>"百色学院综合文科教育"</f>
        <v>百色学院综合文科教育</v>
      </c>
      <c r="E649" s="3" t="s">
        <v>10</v>
      </c>
      <c r="F649" s="3" t="s">
        <v>4</v>
      </c>
      <c r="G649" s="3"/>
    </row>
    <row r="650" spans="1:7" x14ac:dyDescent="0.15">
      <c r="A650" s="2">
        <v>648</v>
      </c>
      <c r="B650" s="3" t="str">
        <f>"黄经伟"</f>
        <v>黄经伟</v>
      </c>
      <c r="C650" s="3" t="str">
        <f>"男        "</f>
        <v xml:space="preserve">男        </v>
      </c>
      <c r="D650" s="3" t="str">
        <f>"广西师范学院师园学院体育教育"</f>
        <v>广西师范学院师园学院体育教育</v>
      </c>
      <c r="E650" s="3" t="str">
        <f t="shared" ref="E650:E651" si="104">"本科"</f>
        <v>本科</v>
      </c>
      <c r="F650" s="3" t="s">
        <v>7</v>
      </c>
      <c r="G650" s="3"/>
    </row>
    <row r="651" spans="1:7" x14ac:dyDescent="0.15">
      <c r="A651" s="2">
        <v>649</v>
      </c>
      <c r="B651" s="3" t="str">
        <f>"梁美义"</f>
        <v>梁美义</v>
      </c>
      <c r="C651" s="3" t="str">
        <f>"女        "</f>
        <v xml:space="preserve">女        </v>
      </c>
      <c r="D651" s="3" t="str">
        <f>"广西民族师范学院行政管理"</f>
        <v>广西民族师范学院行政管理</v>
      </c>
      <c r="E651" s="3" t="str">
        <f t="shared" si="104"/>
        <v>本科</v>
      </c>
      <c r="F651" s="3" t="s">
        <v>5</v>
      </c>
      <c r="G651" s="3"/>
    </row>
    <row r="652" spans="1:7" x14ac:dyDescent="0.15">
      <c r="A652" s="2">
        <v>650</v>
      </c>
      <c r="B652" s="3" t="str">
        <f>"张仁彪"</f>
        <v>张仁彪</v>
      </c>
      <c r="C652" s="3" t="str">
        <f>"男        "</f>
        <v xml:space="preserve">男        </v>
      </c>
      <c r="D652" s="3" t="str">
        <f>"德宏师范高等专科学校数学教育"</f>
        <v>德宏师范高等专科学校数学教育</v>
      </c>
      <c r="E652" s="3" t="s">
        <v>10</v>
      </c>
      <c r="F652" s="3" t="s">
        <v>5</v>
      </c>
      <c r="G652" s="3"/>
    </row>
    <row r="653" spans="1:7" x14ac:dyDescent="0.15">
      <c r="A653" s="2">
        <v>651</v>
      </c>
      <c r="B653" s="3" t="str">
        <f>"隆淑芳"</f>
        <v>隆淑芳</v>
      </c>
      <c r="C653" s="3" t="str">
        <f>"女        "</f>
        <v xml:space="preserve">女        </v>
      </c>
      <c r="D653" s="3" t="str">
        <f>"桂林师范高等专科学校初等教育"</f>
        <v>桂林师范高等专科学校初等教育</v>
      </c>
      <c r="E653" s="3" t="s">
        <v>10</v>
      </c>
      <c r="F653" s="3" t="s">
        <v>4</v>
      </c>
      <c r="G653" s="3"/>
    </row>
    <row r="654" spans="1:7" x14ac:dyDescent="0.15">
      <c r="A654" s="2">
        <v>652</v>
      </c>
      <c r="B654" s="3" t="str">
        <f>"杨双琴"</f>
        <v>杨双琴</v>
      </c>
      <c r="C654" s="3" t="str">
        <f>"女        "</f>
        <v xml:space="preserve">女        </v>
      </c>
      <c r="D654" s="3" t="str">
        <f>"文山学院思想政治教育"</f>
        <v>文山学院思想政治教育</v>
      </c>
      <c r="E654" s="3" t="str">
        <f>"本科"</f>
        <v>本科</v>
      </c>
      <c r="F654" s="3" t="s">
        <v>4</v>
      </c>
      <c r="G654" s="3"/>
    </row>
    <row r="655" spans="1:7" x14ac:dyDescent="0.15">
      <c r="A655" s="2">
        <v>653</v>
      </c>
      <c r="B655" s="3" t="str">
        <f>"赵颖"</f>
        <v>赵颖</v>
      </c>
      <c r="C655" s="3" t="str">
        <f>"女        "</f>
        <v xml:space="preserve">女        </v>
      </c>
      <c r="D655" s="3" t="str">
        <f>"广西科技师范学院语文教育"</f>
        <v>广西科技师范学院语文教育</v>
      </c>
      <c r="E655" s="3" t="s">
        <v>10</v>
      </c>
      <c r="F655" s="3" t="s">
        <v>4</v>
      </c>
      <c r="G655" s="3"/>
    </row>
    <row r="656" spans="1:7" x14ac:dyDescent="0.15">
      <c r="A656" s="2">
        <v>654</v>
      </c>
      <c r="B656" s="3" t="str">
        <f>"杨丽菊"</f>
        <v>杨丽菊</v>
      </c>
      <c r="C656" s="3" t="str">
        <f>"女        "</f>
        <v xml:space="preserve">女        </v>
      </c>
      <c r="D656" s="3" t="str">
        <f>"德宏师范高等专科学校数学教育"</f>
        <v>德宏师范高等专科学校数学教育</v>
      </c>
      <c r="E656" s="3" t="s">
        <v>10</v>
      </c>
      <c r="F656" s="3" t="s">
        <v>5</v>
      </c>
      <c r="G656" s="3"/>
    </row>
    <row r="657" spans="1:7" x14ac:dyDescent="0.15">
      <c r="A657" s="2">
        <v>655</v>
      </c>
      <c r="B657" s="3" t="str">
        <f>"陆燕清"</f>
        <v>陆燕清</v>
      </c>
      <c r="C657" s="3" t="str">
        <f>"女        "</f>
        <v xml:space="preserve">女        </v>
      </c>
      <c r="D657" s="3" t="str">
        <f>"广西师范大学漓江学院法学"</f>
        <v>广西师范大学漓江学院法学</v>
      </c>
      <c r="E657" s="3" t="str">
        <f>"本科"</f>
        <v>本科</v>
      </c>
      <c r="F657" s="3" t="s">
        <v>5</v>
      </c>
      <c r="G657" s="3"/>
    </row>
    <row r="658" spans="1:7" x14ac:dyDescent="0.15">
      <c r="A658" s="2">
        <v>656</v>
      </c>
      <c r="B658" s="3" t="str">
        <f>"陈开福"</f>
        <v>陈开福</v>
      </c>
      <c r="C658" s="3" t="str">
        <f>"男        "</f>
        <v xml:space="preserve">男        </v>
      </c>
      <c r="D658" s="3" t="str">
        <f>"丽江师范高等专科学校体育教育"</f>
        <v>丽江师范高等专科学校体育教育</v>
      </c>
      <c r="E658" s="3" t="s">
        <v>10</v>
      </c>
      <c r="F658" s="3" t="s">
        <v>7</v>
      </c>
      <c r="G658" s="3"/>
    </row>
    <row r="659" spans="1:7" x14ac:dyDescent="0.15">
      <c r="A659" s="2">
        <v>657</v>
      </c>
      <c r="B659" s="3" t="str">
        <f>"杨淖雯"</f>
        <v>杨淖雯</v>
      </c>
      <c r="C659" s="3" t="str">
        <f>"女        "</f>
        <v xml:space="preserve">女        </v>
      </c>
      <c r="D659" s="3" t="str">
        <f>"楚雄师范学院市场营销"</f>
        <v>楚雄师范学院市场营销</v>
      </c>
      <c r="E659" s="3" t="str">
        <f>"本科"</f>
        <v>本科</v>
      </c>
      <c r="F659" s="3" t="s">
        <v>4</v>
      </c>
      <c r="G659" s="3"/>
    </row>
    <row r="660" spans="1:7" x14ac:dyDescent="0.15">
      <c r="A660" s="2">
        <v>658</v>
      </c>
      <c r="B660" s="3" t="str">
        <f>"罗福欢"</f>
        <v>罗福欢</v>
      </c>
      <c r="C660" s="3" t="str">
        <f>"男        "</f>
        <v xml:space="preserve">男        </v>
      </c>
      <c r="D660" s="3" t="str">
        <f>"百色学院汉语"</f>
        <v>百色学院汉语</v>
      </c>
      <c r="E660" s="3" t="s">
        <v>10</v>
      </c>
      <c r="F660" s="3" t="s">
        <v>4</v>
      </c>
      <c r="G660" s="3"/>
    </row>
    <row r="661" spans="1:7" x14ac:dyDescent="0.15">
      <c r="A661" s="2">
        <v>659</v>
      </c>
      <c r="B661" s="3" t="str">
        <f>"韦雪棉"</f>
        <v>韦雪棉</v>
      </c>
      <c r="C661" s="3" t="str">
        <f t="shared" ref="C661:C666" si="105">"女        "</f>
        <v xml:space="preserve">女        </v>
      </c>
      <c r="D661" s="3" t="str">
        <f>"湖北民族学院社会体"</f>
        <v>湖北民族学院社会体</v>
      </c>
      <c r="E661" s="3" t="str">
        <f t="shared" ref="E661:E662" si="106">"本科"</f>
        <v>本科</v>
      </c>
      <c r="F661" s="3" t="s">
        <v>7</v>
      </c>
      <c r="G661" s="3"/>
    </row>
    <row r="662" spans="1:7" x14ac:dyDescent="0.15">
      <c r="A662" s="2">
        <v>660</v>
      </c>
      <c r="B662" s="3" t="str">
        <f>"尚红丽"</f>
        <v>尚红丽</v>
      </c>
      <c r="C662" s="3" t="str">
        <f t="shared" si="105"/>
        <v xml:space="preserve">女        </v>
      </c>
      <c r="D662" s="3" t="str">
        <f>"云南师范大学商学院会计学"</f>
        <v>云南师范大学商学院会计学</v>
      </c>
      <c r="E662" s="3" t="str">
        <f t="shared" si="106"/>
        <v>本科</v>
      </c>
      <c r="F662" s="3" t="s">
        <v>5</v>
      </c>
      <c r="G662" s="3"/>
    </row>
    <row r="663" spans="1:7" x14ac:dyDescent="0.15">
      <c r="A663" s="2">
        <v>661</v>
      </c>
      <c r="B663" s="3" t="str">
        <f>"张梅芬"</f>
        <v>张梅芬</v>
      </c>
      <c r="C663" s="3" t="str">
        <f t="shared" si="105"/>
        <v xml:space="preserve">女        </v>
      </c>
      <c r="D663" s="3" t="str">
        <f>"德宏师范高等专科学校初等教育理科"</f>
        <v>德宏师范高等专科学校初等教育理科</v>
      </c>
      <c r="E663" s="3" t="s">
        <v>10</v>
      </c>
      <c r="F663" s="3" t="s">
        <v>5</v>
      </c>
      <c r="G663" s="3"/>
    </row>
    <row r="664" spans="1:7" x14ac:dyDescent="0.15">
      <c r="A664" s="2">
        <v>662</v>
      </c>
      <c r="B664" s="3" t="str">
        <f>"黄冰冰"</f>
        <v>黄冰冰</v>
      </c>
      <c r="C664" s="3" t="str">
        <f t="shared" si="105"/>
        <v xml:space="preserve">女        </v>
      </c>
      <c r="D664" s="3" t="str">
        <f>"重庆师范大学涉外商贸学院国际经济与贸易"</f>
        <v>重庆师范大学涉外商贸学院国际经济与贸易</v>
      </c>
      <c r="E664" s="3" t="str">
        <f>"本科"</f>
        <v>本科</v>
      </c>
      <c r="F664" s="3" t="s">
        <v>9</v>
      </c>
      <c r="G664" s="3"/>
    </row>
    <row r="665" spans="1:7" x14ac:dyDescent="0.15">
      <c r="A665" s="2">
        <v>663</v>
      </c>
      <c r="B665" s="3" t="str">
        <f>"周凤跳"</f>
        <v>周凤跳</v>
      </c>
      <c r="C665" s="3" t="str">
        <f t="shared" si="105"/>
        <v xml:space="preserve">女        </v>
      </c>
      <c r="D665" s="3" t="str">
        <f>"南宁地区教育学院语文教育"</f>
        <v>南宁地区教育学院语文教育</v>
      </c>
      <c r="E665" s="3" t="s">
        <v>10</v>
      </c>
      <c r="F665" s="3" t="s">
        <v>4</v>
      </c>
      <c r="G665" s="3"/>
    </row>
    <row r="666" spans="1:7" x14ac:dyDescent="0.15">
      <c r="A666" s="2">
        <v>664</v>
      </c>
      <c r="B666" s="3" t="str">
        <f>"陆翠英"</f>
        <v>陆翠英</v>
      </c>
      <c r="C666" s="3" t="str">
        <f t="shared" si="105"/>
        <v xml:space="preserve">女        </v>
      </c>
      <c r="D666" s="3" t="str">
        <f>"桂林师范高等专科学校学前教育"</f>
        <v>桂林师范高等专科学校学前教育</v>
      </c>
      <c r="E666" s="3" t="s">
        <v>10</v>
      </c>
      <c r="F666" s="3" t="s">
        <v>5</v>
      </c>
      <c r="G666" s="3"/>
    </row>
    <row r="667" spans="1:7" x14ac:dyDescent="0.15">
      <c r="A667" s="2">
        <v>665</v>
      </c>
      <c r="B667" s="3" t="str">
        <f>"黄勋骁"</f>
        <v>黄勋骁</v>
      </c>
      <c r="C667" s="3" t="str">
        <f>"男        "</f>
        <v xml:space="preserve">男        </v>
      </c>
      <c r="D667" s="3" t="str">
        <f>"云南师范大学商学院汉语言文学"</f>
        <v>云南师范大学商学院汉语言文学</v>
      </c>
      <c r="E667" s="3" t="str">
        <f>"本科"</f>
        <v>本科</v>
      </c>
      <c r="F667" s="3" t="s">
        <v>4</v>
      </c>
      <c r="G667" s="3"/>
    </row>
    <row r="668" spans="1:7" x14ac:dyDescent="0.15">
      <c r="A668" s="2">
        <v>666</v>
      </c>
      <c r="B668" s="3" t="str">
        <f>"邓美先"</f>
        <v>邓美先</v>
      </c>
      <c r="C668" s="3" t="str">
        <f>"女        "</f>
        <v xml:space="preserve">女        </v>
      </c>
      <c r="D668" s="3" t="str">
        <f>"广西工业职业技术学院语文教育"</f>
        <v>广西工业职业技术学院语文教育</v>
      </c>
      <c r="E668" s="3" t="s">
        <v>10</v>
      </c>
      <c r="F668" s="3" t="s">
        <v>5</v>
      </c>
      <c r="G668" s="3"/>
    </row>
    <row r="669" spans="1:7" x14ac:dyDescent="0.15">
      <c r="A669" s="2">
        <v>667</v>
      </c>
      <c r="B669" s="3" t="str">
        <f>"黄宏亮"</f>
        <v>黄宏亮</v>
      </c>
      <c r="C669" s="3" t="str">
        <f>"男        "</f>
        <v xml:space="preserve">男        </v>
      </c>
      <c r="D669" s="3" t="str">
        <f>"广西民族大学体育教育"</f>
        <v>广西民族大学体育教育</v>
      </c>
      <c r="E669" s="3" t="str">
        <f>"本科"</f>
        <v>本科</v>
      </c>
      <c r="F669" s="3" t="s">
        <v>7</v>
      </c>
      <c r="G669" s="3"/>
    </row>
    <row r="670" spans="1:7" x14ac:dyDescent="0.15">
      <c r="A670" s="2">
        <v>668</v>
      </c>
      <c r="B670" s="3" t="str">
        <f>"黄必柳"</f>
        <v>黄必柳</v>
      </c>
      <c r="C670" s="3" t="str">
        <f>"女        "</f>
        <v xml:space="preserve">女        </v>
      </c>
      <c r="D670" s="3" t="str">
        <f>"南宁地区教育学院小学语文教育"</f>
        <v>南宁地区教育学院小学语文教育</v>
      </c>
      <c r="E670" s="3" t="s">
        <v>10</v>
      </c>
      <c r="F670" s="3" t="s">
        <v>4</v>
      </c>
      <c r="G670" s="3"/>
    </row>
    <row r="671" spans="1:7" x14ac:dyDescent="0.15">
      <c r="A671" s="2">
        <v>669</v>
      </c>
      <c r="B671" s="3" t="str">
        <f>"冯春娜"</f>
        <v>冯春娜</v>
      </c>
      <c r="C671" s="3" t="str">
        <f>"女        "</f>
        <v xml:space="preserve">女        </v>
      </c>
      <c r="D671" s="3" t="str">
        <f>"右江民族医学院护理学"</f>
        <v>右江民族医学院护理学</v>
      </c>
      <c r="E671" s="3" t="str">
        <f>"本科"</f>
        <v>本科</v>
      </c>
      <c r="F671" s="3" t="s">
        <v>4</v>
      </c>
      <c r="G671" s="3"/>
    </row>
    <row r="672" spans="1:7" x14ac:dyDescent="0.15">
      <c r="A672" s="2">
        <v>670</v>
      </c>
      <c r="B672" s="3" t="str">
        <f>"何艳雯"</f>
        <v>何艳雯</v>
      </c>
      <c r="C672" s="3" t="str">
        <f>"女        "</f>
        <v xml:space="preserve">女        </v>
      </c>
      <c r="D672" s="3" t="str">
        <f>"百色学院综合文科教育"</f>
        <v>百色学院综合文科教育</v>
      </c>
      <c r="E672" s="3" t="s">
        <v>10</v>
      </c>
      <c r="F672" s="3" t="s">
        <v>4</v>
      </c>
      <c r="G672" s="3"/>
    </row>
    <row r="673" spans="1:7" x14ac:dyDescent="0.15">
      <c r="A673" s="2">
        <v>671</v>
      </c>
      <c r="B673" s="3" t="str">
        <f>"杨凤艳"</f>
        <v>杨凤艳</v>
      </c>
      <c r="C673" s="3" t="str">
        <f>"女        "</f>
        <v xml:space="preserve">女        </v>
      </c>
      <c r="D673" s="3" t="str">
        <f>"南宁学院交通运输"</f>
        <v>南宁学院交通运输</v>
      </c>
      <c r="E673" s="3" t="str">
        <f t="shared" ref="E673:E676" si="107">"本科"</f>
        <v>本科</v>
      </c>
      <c r="F673" s="3" t="s">
        <v>5</v>
      </c>
      <c r="G673" s="3"/>
    </row>
    <row r="674" spans="1:7" x14ac:dyDescent="0.15">
      <c r="A674" s="2">
        <v>672</v>
      </c>
      <c r="B674" s="3" t="str">
        <f>"董书玲"</f>
        <v>董书玲</v>
      </c>
      <c r="C674" s="3" t="str">
        <f>"女        "</f>
        <v xml:space="preserve">女        </v>
      </c>
      <c r="D674" s="3" t="str">
        <f>"文山学院数学与应用数学"</f>
        <v>文山学院数学与应用数学</v>
      </c>
      <c r="E674" s="3" t="str">
        <f t="shared" si="107"/>
        <v>本科</v>
      </c>
      <c r="F674" s="3" t="s">
        <v>5</v>
      </c>
      <c r="G674" s="3"/>
    </row>
    <row r="675" spans="1:7" x14ac:dyDescent="0.15">
      <c r="A675" s="2">
        <v>673</v>
      </c>
      <c r="B675" s="3" t="str">
        <f>"陈应晗"</f>
        <v>陈应晗</v>
      </c>
      <c r="C675" s="3" t="str">
        <f>"男        "</f>
        <v xml:space="preserve">男        </v>
      </c>
      <c r="D675" s="3" t="str">
        <f>"西南林业大学森林工程"</f>
        <v>西南林业大学森林工程</v>
      </c>
      <c r="E675" s="3" t="str">
        <f t="shared" si="107"/>
        <v>本科</v>
      </c>
      <c r="F675" s="3" t="s">
        <v>5</v>
      </c>
      <c r="G675" s="3"/>
    </row>
    <row r="676" spans="1:7" x14ac:dyDescent="0.15">
      <c r="A676" s="2">
        <v>674</v>
      </c>
      <c r="B676" s="3" t="str">
        <f>"陆玲"</f>
        <v>陆玲</v>
      </c>
      <c r="C676" s="3" t="str">
        <f t="shared" ref="C676:C684" si="108">"女        "</f>
        <v xml:space="preserve">女        </v>
      </c>
      <c r="D676" s="3" t="str">
        <f>"云南大学滇池学院法学"</f>
        <v>云南大学滇池学院法学</v>
      </c>
      <c r="E676" s="3" t="str">
        <f t="shared" si="107"/>
        <v>本科</v>
      </c>
      <c r="F676" s="3" t="s">
        <v>4</v>
      </c>
      <c r="G676" s="3"/>
    </row>
    <row r="677" spans="1:7" x14ac:dyDescent="0.15">
      <c r="A677" s="2">
        <v>675</v>
      </c>
      <c r="B677" s="3" t="str">
        <f>"卢宇萍"</f>
        <v>卢宇萍</v>
      </c>
      <c r="C677" s="3" t="str">
        <f t="shared" si="108"/>
        <v xml:space="preserve">女        </v>
      </c>
      <c r="D677" s="3" t="str">
        <f>"普洱学院语文教育"</f>
        <v>普洱学院语文教育</v>
      </c>
      <c r="E677" s="3" t="s">
        <v>10</v>
      </c>
      <c r="F677" s="3" t="s">
        <v>4</v>
      </c>
      <c r="G677" s="3"/>
    </row>
    <row r="678" spans="1:7" x14ac:dyDescent="0.15">
      <c r="A678" s="2">
        <v>676</v>
      </c>
      <c r="B678" s="3" t="str">
        <f>"黄倩"</f>
        <v>黄倩</v>
      </c>
      <c r="C678" s="3" t="str">
        <f t="shared" si="108"/>
        <v xml:space="preserve">女        </v>
      </c>
      <c r="D678" s="3" t="str">
        <f>"丽江师范高等专科学校语文教育"</f>
        <v>丽江师范高等专科学校语文教育</v>
      </c>
      <c r="E678" s="3" t="s">
        <v>10</v>
      </c>
      <c r="F678" s="3" t="s">
        <v>4</v>
      </c>
      <c r="G678" s="3"/>
    </row>
    <row r="679" spans="1:7" x14ac:dyDescent="0.15">
      <c r="A679" s="2">
        <v>677</v>
      </c>
      <c r="B679" s="3" t="str">
        <f>"黄秀梅"</f>
        <v>黄秀梅</v>
      </c>
      <c r="C679" s="3" t="str">
        <f t="shared" si="108"/>
        <v xml:space="preserve">女        </v>
      </c>
      <c r="D679" s="3" t="str">
        <f>"南昌工学院会计学"</f>
        <v>南昌工学院会计学</v>
      </c>
      <c r="E679" s="3" t="str">
        <f>"本科"</f>
        <v>本科</v>
      </c>
      <c r="F679" s="3" t="s">
        <v>5</v>
      </c>
      <c r="G679" s="3"/>
    </row>
    <row r="680" spans="1:7" x14ac:dyDescent="0.15">
      <c r="A680" s="2">
        <v>678</v>
      </c>
      <c r="B680" s="3" t="str">
        <f>"黄丽红"</f>
        <v>黄丽红</v>
      </c>
      <c r="C680" s="3" t="str">
        <f t="shared" si="108"/>
        <v xml:space="preserve">女        </v>
      </c>
      <c r="D680" s="3" t="str">
        <f>"南宁地区教育学院小学数学教育"</f>
        <v>南宁地区教育学院小学数学教育</v>
      </c>
      <c r="E680" s="3" t="s">
        <v>10</v>
      </c>
      <c r="F680" s="3" t="s">
        <v>5</v>
      </c>
      <c r="G680" s="3"/>
    </row>
    <row r="681" spans="1:7" x14ac:dyDescent="0.15">
      <c r="A681" s="2">
        <v>679</v>
      </c>
      <c r="B681" s="3" t="str">
        <f>"黄秋叶"</f>
        <v>黄秋叶</v>
      </c>
      <c r="C681" s="3" t="str">
        <f t="shared" si="108"/>
        <v xml:space="preserve">女        </v>
      </c>
      <c r="D681" s="3" t="str">
        <f>"丽江师范高等专科学校小学教育"</f>
        <v>丽江师范高等专科学校小学教育</v>
      </c>
      <c r="E681" s="3" t="s">
        <v>10</v>
      </c>
      <c r="F681" s="3" t="s">
        <v>4</v>
      </c>
      <c r="G681" s="3"/>
    </row>
    <row r="682" spans="1:7" x14ac:dyDescent="0.15">
      <c r="A682" s="2">
        <v>680</v>
      </c>
      <c r="B682" s="3" t="str">
        <f>"马章美"</f>
        <v>马章美</v>
      </c>
      <c r="C682" s="3" t="str">
        <f t="shared" si="108"/>
        <v xml:space="preserve">女        </v>
      </c>
      <c r="D682" s="3" t="str">
        <f>"云南民族大学中国少数民族语言文学"</f>
        <v>云南民族大学中国少数民族语言文学</v>
      </c>
      <c r="E682" s="3" t="str">
        <f t="shared" ref="E682:E683" si="109">"本科"</f>
        <v>本科</v>
      </c>
      <c r="F682" s="3" t="s">
        <v>4</v>
      </c>
      <c r="G682" s="3"/>
    </row>
    <row r="683" spans="1:7" x14ac:dyDescent="0.15">
      <c r="A683" s="2">
        <v>681</v>
      </c>
      <c r="B683" s="3" t="str">
        <f>"黄媛媛"</f>
        <v>黄媛媛</v>
      </c>
      <c r="C683" s="3" t="str">
        <f t="shared" si="108"/>
        <v xml:space="preserve">女        </v>
      </c>
      <c r="D683" s="3" t="str">
        <f>"广西师范大学漓江学院学前教育"</f>
        <v>广西师范大学漓江学院学前教育</v>
      </c>
      <c r="E683" s="3" t="str">
        <f t="shared" si="109"/>
        <v>本科</v>
      </c>
      <c r="F683" s="3" t="s">
        <v>4</v>
      </c>
      <c r="G683" s="3"/>
    </row>
    <row r="684" spans="1:7" x14ac:dyDescent="0.15">
      <c r="A684" s="2">
        <v>682</v>
      </c>
      <c r="B684" s="3" t="str">
        <f>"潘艳飞"</f>
        <v>潘艳飞</v>
      </c>
      <c r="C684" s="3" t="str">
        <f t="shared" si="108"/>
        <v xml:space="preserve">女        </v>
      </c>
      <c r="D684" s="3" t="str">
        <f>"桂林师范高等专科学校综合理科教育"</f>
        <v>桂林师范高等专科学校综合理科教育</v>
      </c>
      <c r="E684" s="3" t="s">
        <v>10</v>
      </c>
      <c r="F684" s="3" t="s">
        <v>5</v>
      </c>
      <c r="G684" s="3"/>
    </row>
    <row r="685" spans="1:7" x14ac:dyDescent="0.15">
      <c r="A685" s="2">
        <v>683</v>
      </c>
      <c r="B685" s="3" t="str">
        <f>"陈思君"</f>
        <v>陈思君</v>
      </c>
      <c r="C685" s="3" t="str">
        <f>"男        "</f>
        <v xml:space="preserve">男        </v>
      </c>
      <c r="D685" s="3" t="str">
        <f>"云南经济管理学院工程造价"</f>
        <v>云南经济管理学院工程造价</v>
      </c>
      <c r="E685" s="3" t="str">
        <f>"本科"</f>
        <v>本科</v>
      </c>
      <c r="F685" s="3" t="s">
        <v>4</v>
      </c>
      <c r="G685" s="3"/>
    </row>
    <row r="686" spans="1:7" x14ac:dyDescent="0.15">
      <c r="A686" s="2">
        <v>684</v>
      </c>
      <c r="B686" s="3" t="str">
        <f>"苏怡"</f>
        <v>苏怡</v>
      </c>
      <c r="C686" s="3" t="str">
        <f>"女        "</f>
        <v xml:space="preserve">女        </v>
      </c>
      <c r="D686" s="3" t="str">
        <f>"丽江师范高等专科学校思想政治教育"</f>
        <v>丽江师范高等专科学校思想政治教育</v>
      </c>
      <c r="E686" s="3" t="s">
        <v>10</v>
      </c>
      <c r="F686" s="3" t="s">
        <v>4</v>
      </c>
      <c r="G686" s="3"/>
    </row>
    <row r="687" spans="1:7" x14ac:dyDescent="0.15">
      <c r="A687" s="2">
        <v>685</v>
      </c>
      <c r="B687" s="3" t="str">
        <f>"彭云曦"</f>
        <v>彭云曦</v>
      </c>
      <c r="C687" s="3" t="str">
        <f>"男        "</f>
        <v xml:space="preserve">男        </v>
      </c>
      <c r="D687" s="3" t="str">
        <f>"滇西科技师范学院物理教育"</f>
        <v>滇西科技师范学院物理教育</v>
      </c>
      <c r="E687" s="3" t="s">
        <v>10</v>
      </c>
      <c r="F687" s="3" t="s">
        <v>5</v>
      </c>
      <c r="G687" s="3"/>
    </row>
    <row r="688" spans="1:7" x14ac:dyDescent="0.15">
      <c r="A688" s="2">
        <v>686</v>
      </c>
      <c r="B688" s="3" t="str">
        <f>"刘彩婷"</f>
        <v>刘彩婷</v>
      </c>
      <c r="C688" s="3" t="str">
        <f>"女        "</f>
        <v xml:space="preserve">女        </v>
      </c>
      <c r="D688" s="3" t="str">
        <f>"玉林师范学院学前教育"</f>
        <v>玉林师范学院学前教育</v>
      </c>
      <c r="E688" s="3" t="str">
        <f t="shared" ref="E688:E689" si="110">"本科"</f>
        <v>本科</v>
      </c>
      <c r="F688" s="3" t="s">
        <v>5</v>
      </c>
      <c r="G688" s="3"/>
    </row>
    <row r="689" spans="1:7" x14ac:dyDescent="0.15">
      <c r="A689" s="2">
        <v>687</v>
      </c>
      <c r="B689" s="3" t="str">
        <f>"黄春道"</f>
        <v>黄春道</v>
      </c>
      <c r="C689" s="3" t="str">
        <f>"女        "</f>
        <v xml:space="preserve">女        </v>
      </c>
      <c r="D689" s="3" t="str">
        <f>"广西师范大学物流教师职教师资班"</f>
        <v>广西师范大学物流教师职教师资班</v>
      </c>
      <c r="E689" s="3" t="str">
        <f t="shared" si="110"/>
        <v>本科</v>
      </c>
      <c r="F689" s="3" t="s">
        <v>9</v>
      </c>
      <c r="G689" s="3"/>
    </row>
    <row r="690" spans="1:7" x14ac:dyDescent="0.15">
      <c r="A690" s="2">
        <v>688</v>
      </c>
      <c r="B690" s="3" t="str">
        <f>"李肖肖"</f>
        <v>李肖肖</v>
      </c>
      <c r="C690" s="3" t="str">
        <f>"女        "</f>
        <v xml:space="preserve">女        </v>
      </c>
      <c r="D690" s="3" t="str">
        <f>"滇西科技师范学院语文教育"</f>
        <v>滇西科技师范学院语文教育</v>
      </c>
      <c r="E690" s="3" t="s">
        <v>10</v>
      </c>
      <c r="F690" s="3" t="s">
        <v>4</v>
      </c>
      <c r="G690" s="3"/>
    </row>
    <row r="691" spans="1:7" x14ac:dyDescent="0.15">
      <c r="A691" s="2">
        <v>689</v>
      </c>
      <c r="B691" s="3" t="str">
        <f>"陈丽美"</f>
        <v>陈丽美</v>
      </c>
      <c r="C691" s="3" t="str">
        <f>"女        "</f>
        <v xml:space="preserve">女        </v>
      </c>
      <c r="D691" s="3" t="str">
        <f>"百色学院学前教育"</f>
        <v>百色学院学前教育</v>
      </c>
      <c r="E691" s="3" t="s">
        <v>10</v>
      </c>
      <c r="F691" s="3" t="s">
        <v>4</v>
      </c>
      <c r="G691" s="3"/>
    </row>
    <row r="692" spans="1:7" x14ac:dyDescent="0.15">
      <c r="A692" s="2">
        <v>690</v>
      </c>
      <c r="B692" s="3" t="str">
        <f>"农佳丽"</f>
        <v>农佳丽</v>
      </c>
      <c r="C692" s="3" t="str">
        <f>"女        "</f>
        <v xml:space="preserve">女        </v>
      </c>
      <c r="D692" s="3" t="str">
        <f>"广西幼儿师范高等专科学校学前教育"</f>
        <v>广西幼儿师范高等专科学校学前教育</v>
      </c>
      <c r="E692" s="3" t="s">
        <v>10</v>
      </c>
      <c r="F692" s="3" t="s">
        <v>5</v>
      </c>
      <c r="G692" s="3"/>
    </row>
    <row r="693" spans="1:7" x14ac:dyDescent="0.15">
      <c r="A693" s="2">
        <v>691</v>
      </c>
      <c r="B693" s="3" t="str">
        <f>"卢永华"</f>
        <v>卢永华</v>
      </c>
      <c r="C693" s="3" t="str">
        <f>"男        "</f>
        <v xml:space="preserve">男        </v>
      </c>
      <c r="D693" s="3" t="str">
        <f>"昆明学院国际经济与贸易"</f>
        <v>昆明学院国际经济与贸易</v>
      </c>
      <c r="E693" s="3" t="str">
        <f t="shared" ref="E693:E694" si="111">"本科"</f>
        <v>本科</v>
      </c>
      <c r="F693" s="3" t="s">
        <v>5</v>
      </c>
      <c r="G693" s="3"/>
    </row>
    <row r="694" spans="1:7" x14ac:dyDescent="0.15">
      <c r="A694" s="2">
        <v>692</v>
      </c>
      <c r="B694" s="3" t="str">
        <f>"田代江"</f>
        <v>田代江</v>
      </c>
      <c r="C694" s="3" t="str">
        <f>"男        "</f>
        <v xml:space="preserve">男        </v>
      </c>
      <c r="D694" s="3" t="str">
        <f>"西南大学农村区域发展"</f>
        <v>西南大学农村区域发展</v>
      </c>
      <c r="E694" s="3" t="str">
        <f t="shared" si="111"/>
        <v>本科</v>
      </c>
      <c r="F694" s="3" t="s">
        <v>5</v>
      </c>
      <c r="G694" s="3"/>
    </row>
    <row r="695" spans="1:7" x14ac:dyDescent="0.15">
      <c r="A695" s="2">
        <v>693</v>
      </c>
      <c r="B695" s="3" t="str">
        <f>"高连芬"</f>
        <v>高连芬</v>
      </c>
      <c r="C695" s="3" t="str">
        <f>"女        "</f>
        <v xml:space="preserve">女        </v>
      </c>
      <c r="D695" s="3" t="str">
        <f>"滇西科技师范学院语文教育"</f>
        <v>滇西科技师范学院语文教育</v>
      </c>
      <c r="E695" s="3" t="s">
        <v>10</v>
      </c>
      <c r="F695" s="3" t="s">
        <v>4</v>
      </c>
      <c r="G695" s="3"/>
    </row>
    <row r="696" spans="1:7" x14ac:dyDescent="0.15">
      <c r="A696" s="2">
        <v>694</v>
      </c>
      <c r="B696" s="3" t="str">
        <f>"黄丽妮"</f>
        <v>黄丽妮</v>
      </c>
      <c r="C696" s="3" t="str">
        <f>"女        "</f>
        <v xml:space="preserve">女        </v>
      </c>
      <c r="D696" s="3" t="str">
        <f>"广西财经学院市场营销"</f>
        <v>广西财经学院市场营销</v>
      </c>
      <c r="E696" s="3" t="str">
        <f t="shared" ref="E696:E697" si="112">"本科"</f>
        <v>本科</v>
      </c>
      <c r="F696" s="3" t="s">
        <v>4</v>
      </c>
      <c r="G696" s="3"/>
    </row>
    <row r="697" spans="1:7" x14ac:dyDescent="0.15">
      <c r="A697" s="2">
        <v>695</v>
      </c>
      <c r="B697" s="3" t="str">
        <f>"陶明珍"</f>
        <v>陶明珍</v>
      </c>
      <c r="C697" s="3" t="str">
        <f>"女        "</f>
        <v xml:space="preserve">女        </v>
      </c>
      <c r="D697" s="3" t="str">
        <f>"云南民族大学数学与应用数学"</f>
        <v>云南民族大学数学与应用数学</v>
      </c>
      <c r="E697" s="3" t="str">
        <f t="shared" si="112"/>
        <v>本科</v>
      </c>
      <c r="F697" s="3" t="s">
        <v>5</v>
      </c>
      <c r="G697" s="3"/>
    </row>
    <row r="698" spans="1:7" x14ac:dyDescent="0.15">
      <c r="A698" s="2">
        <v>696</v>
      </c>
      <c r="B698" s="3" t="str">
        <f>"贺巧"</f>
        <v>贺巧</v>
      </c>
      <c r="C698" s="3" t="str">
        <f>"女        "</f>
        <v xml:space="preserve">女        </v>
      </c>
      <c r="D698" s="3" t="str">
        <f>"德宏师范高等专科学校初等教育"</f>
        <v>德宏师范高等专科学校初等教育</v>
      </c>
      <c r="E698" s="3" t="s">
        <v>10</v>
      </c>
      <c r="F698" s="3" t="s">
        <v>5</v>
      </c>
      <c r="G698" s="3"/>
    </row>
    <row r="699" spans="1:7" x14ac:dyDescent="0.15">
      <c r="A699" s="2">
        <v>697</v>
      </c>
      <c r="B699" s="3" t="str">
        <f>"李金仁"</f>
        <v>李金仁</v>
      </c>
      <c r="C699" s="3" t="str">
        <f>"男        "</f>
        <v xml:space="preserve">男        </v>
      </c>
      <c r="D699" s="3" t="str">
        <f>"楚雄师范学院生物技术"</f>
        <v>楚雄师范学院生物技术</v>
      </c>
      <c r="E699" s="3" t="str">
        <f>"本科"</f>
        <v>本科</v>
      </c>
      <c r="F699" s="3" t="s">
        <v>5</v>
      </c>
      <c r="G699" s="3"/>
    </row>
    <row r="700" spans="1:7" x14ac:dyDescent="0.15">
      <c r="A700" s="2">
        <v>698</v>
      </c>
      <c r="B700" s="3" t="str">
        <f>"郭春"</f>
        <v>郭春</v>
      </c>
      <c r="C700" s="3" t="str">
        <f>"女        "</f>
        <v xml:space="preserve">女        </v>
      </c>
      <c r="D700" s="3" t="str">
        <f>"普洱学院英语教育"</f>
        <v>普洱学院英语教育</v>
      </c>
      <c r="E700" s="3" t="s">
        <v>10</v>
      </c>
      <c r="F700" s="3" t="s">
        <v>6</v>
      </c>
      <c r="G700" s="3"/>
    </row>
    <row r="701" spans="1:7" x14ac:dyDescent="0.15">
      <c r="A701" s="2">
        <v>699</v>
      </c>
      <c r="B701" s="3" t="str">
        <f>"黄惠玲"</f>
        <v>黄惠玲</v>
      </c>
      <c r="C701" s="3" t="str">
        <f>"女        "</f>
        <v xml:space="preserve">女        </v>
      </c>
      <c r="D701" s="3" t="str">
        <f>"百色学院化学"</f>
        <v>百色学院化学</v>
      </c>
      <c r="E701" s="3" t="str">
        <f>"本科"</f>
        <v>本科</v>
      </c>
      <c r="F701" s="3" t="s">
        <v>5</v>
      </c>
      <c r="G701" s="3"/>
    </row>
    <row r="702" spans="1:7" x14ac:dyDescent="0.15">
      <c r="A702" s="2">
        <v>700</v>
      </c>
      <c r="B702" s="3" t="str">
        <f>"王小常"</f>
        <v>王小常</v>
      </c>
      <c r="C702" s="3" t="str">
        <f>"男        "</f>
        <v xml:space="preserve">男        </v>
      </c>
      <c r="D702" s="3" t="str">
        <f>"兴义民族师范学院语文教育"</f>
        <v>兴义民族师范学院语文教育</v>
      </c>
      <c r="E702" s="3" t="s">
        <v>10</v>
      </c>
      <c r="F702" s="3" t="s">
        <v>4</v>
      </c>
      <c r="G702" s="3"/>
    </row>
    <row r="703" spans="1:7" x14ac:dyDescent="0.15">
      <c r="A703" s="2">
        <v>701</v>
      </c>
      <c r="B703" s="3" t="str">
        <f>"罗秋妹"</f>
        <v>罗秋妹</v>
      </c>
      <c r="C703" s="3" t="str">
        <f>"女        "</f>
        <v xml:space="preserve">女        </v>
      </c>
      <c r="D703" s="3" t="str">
        <f>"桂林师范高等专科学校物理教育"</f>
        <v>桂林师范高等专科学校物理教育</v>
      </c>
      <c r="E703" s="3" t="s">
        <v>10</v>
      </c>
      <c r="F703" s="3" t="s">
        <v>5</v>
      </c>
      <c r="G703" s="3"/>
    </row>
    <row r="704" spans="1:7" x14ac:dyDescent="0.15">
      <c r="A704" s="2">
        <v>702</v>
      </c>
      <c r="B704" s="3" t="str">
        <f>"普朝青"</f>
        <v>普朝青</v>
      </c>
      <c r="C704" s="3" t="str">
        <f>"女        "</f>
        <v xml:space="preserve">女        </v>
      </c>
      <c r="D704" s="3" t="str">
        <f>"云南农业大学农学"</f>
        <v>云南农业大学农学</v>
      </c>
      <c r="E704" s="3" t="str">
        <f>"本科"</f>
        <v>本科</v>
      </c>
      <c r="F704" s="3" t="s">
        <v>5</v>
      </c>
      <c r="G704" s="3"/>
    </row>
    <row r="705" spans="1:7" x14ac:dyDescent="0.15">
      <c r="A705" s="2">
        <v>703</v>
      </c>
      <c r="B705" s="3" t="str">
        <f>"韦新凤"</f>
        <v>韦新凤</v>
      </c>
      <c r="C705" s="3" t="str">
        <f>"女        "</f>
        <v xml:space="preserve">女        </v>
      </c>
      <c r="D705" s="3" t="str">
        <f>"南宁地区教育学院小学数学"</f>
        <v>南宁地区教育学院小学数学</v>
      </c>
      <c r="E705" s="3" t="s">
        <v>10</v>
      </c>
      <c r="F705" s="3" t="s">
        <v>5</v>
      </c>
      <c r="G705" s="3"/>
    </row>
    <row r="706" spans="1:7" x14ac:dyDescent="0.15">
      <c r="A706" s="2">
        <v>704</v>
      </c>
      <c r="B706" s="3" t="str">
        <f>"黄艳莎"</f>
        <v>黄艳莎</v>
      </c>
      <c r="C706" s="3" t="str">
        <f>"女        "</f>
        <v xml:space="preserve">女        </v>
      </c>
      <c r="D706" s="3" t="str">
        <f>"钦州学院教育学小学教育文科"</f>
        <v>钦州学院教育学小学教育文科</v>
      </c>
      <c r="E706" s="3" t="str">
        <f>"本科"</f>
        <v>本科</v>
      </c>
      <c r="F706" s="3" t="s">
        <v>4</v>
      </c>
      <c r="G706" s="3"/>
    </row>
    <row r="707" spans="1:7" x14ac:dyDescent="0.15">
      <c r="A707" s="2">
        <v>705</v>
      </c>
      <c r="B707" s="3" t="str">
        <f>"蒙健"</f>
        <v>蒙健</v>
      </c>
      <c r="C707" s="3" t="str">
        <f>"男        "</f>
        <v xml:space="preserve">男        </v>
      </c>
      <c r="D707" s="3" t="str">
        <f>"德宏师范高等专科学校初等教育"</f>
        <v>德宏师范高等专科学校初等教育</v>
      </c>
      <c r="E707" s="3" t="s">
        <v>10</v>
      </c>
      <c r="F707" s="3" t="s">
        <v>4</v>
      </c>
      <c r="G707" s="3"/>
    </row>
    <row r="708" spans="1:7" x14ac:dyDescent="0.15">
      <c r="A708" s="2">
        <v>706</v>
      </c>
      <c r="B708" s="3" t="str">
        <f>"张龙艳"</f>
        <v>张龙艳</v>
      </c>
      <c r="C708" s="3" t="str">
        <f>"女        "</f>
        <v xml:space="preserve">女        </v>
      </c>
      <c r="D708" s="3" t="str">
        <f>"德宏师范高等专科学校语文教育"</f>
        <v>德宏师范高等专科学校语文教育</v>
      </c>
      <c r="E708" s="3" t="s">
        <v>10</v>
      </c>
      <c r="F708" s="3" t="s">
        <v>4</v>
      </c>
      <c r="G708" s="3"/>
    </row>
    <row r="709" spans="1:7" x14ac:dyDescent="0.15">
      <c r="A709" s="2">
        <v>707</v>
      </c>
      <c r="B709" s="3" t="str">
        <f>"苏彩色"</f>
        <v>苏彩色</v>
      </c>
      <c r="C709" s="3" t="str">
        <f>"女        "</f>
        <v xml:space="preserve">女        </v>
      </c>
      <c r="D709" s="3" t="str">
        <f>"广西幼儿师范高等专科学校特殊教育专业"</f>
        <v>广西幼儿师范高等专科学校特殊教育专业</v>
      </c>
      <c r="E709" s="3" t="s">
        <v>10</v>
      </c>
      <c r="F709" s="3" t="s">
        <v>5</v>
      </c>
      <c r="G709" s="3"/>
    </row>
    <row r="710" spans="1:7" x14ac:dyDescent="0.15">
      <c r="A710" s="2">
        <v>708</v>
      </c>
      <c r="B710" s="3" t="str">
        <f>"罗玉鲜"</f>
        <v>罗玉鲜</v>
      </c>
      <c r="C710" s="3" t="str">
        <f>"女        "</f>
        <v xml:space="preserve">女        </v>
      </c>
      <c r="D710" s="3" t="str">
        <f>"广西幼儿师范高等专科学校学前教育"</f>
        <v>广西幼儿师范高等专科学校学前教育</v>
      </c>
      <c r="E710" s="3" t="str">
        <f>"本科"</f>
        <v>本科</v>
      </c>
      <c r="F710" s="3" t="s">
        <v>5</v>
      </c>
      <c r="G710" s="3"/>
    </row>
    <row r="711" spans="1:7" x14ac:dyDescent="0.15">
      <c r="A711" s="2">
        <v>709</v>
      </c>
      <c r="B711" s="3" t="str">
        <f>"杨深茂"</f>
        <v>杨深茂</v>
      </c>
      <c r="C711" s="3" t="str">
        <f>"男        "</f>
        <v xml:space="preserve">男        </v>
      </c>
      <c r="D711" s="3" t="str">
        <f>"德宏师范高等专科学校初等教育理"</f>
        <v>德宏师范高等专科学校初等教育理</v>
      </c>
      <c r="E711" s="3" t="s">
        <v>10</v>
      </c>
      <c r="F711" s="3" t="s">
        <v>5</v>
      </c>
      <c r="G711" s="3"/>
    </row>
    <row r="712" spans="1:7" x14ac:dyDescent="0.15">
      <c r="A712" s="2">
        <v>710</v>
      </c>
      <c r="B712" s="3" t="str">
        <f>"杨春兰"</f>
        <v>杨春兰</v>
      </c>
      <c r="C712" s="3" t="str">
        <f>"女        "</f>
        <v xml:space="preserve">女        </v>
      </c>
      <c r="D712" s="3" t="str">
        <f>"广西幼儿师范高等专科学校学前教育"</f>
        <v>广西幼儿师范高等专科学校学前教育</v>
      </c>
      <c r="E712" s="3" t="s">
        <v>10</v>
      </c>
      <c r="F712" s="3" t="s">
        <v>8</v>
      </c>
      <c r="G712" s="3"/>
    </row>
    <row r="713" spans="1:7" x14ac:dyDescent="0.15">
      <c r="A713" s="2">
        <v>711</v>
      </c>
      <c r="B713" s="3" t="str">
        <f>"李玲"</f>
        <v>李玲</v>
      </c>
      <c r="C713" s="3" t="str">
        <f>"女        "</f>
        <v xml:space="preserve">女        </v>
      </c>
      <c r="D713" s="3" t="str">
        <f>"德宏示范高等专科学校思想政治教育"</f>
        <v>德宏示范高等专科学校思想政治教育</v>
      </c>
      <c r="E713" s="3" t="s">
        <v>10</v>
      </c>
      <c r="F713" s="3" t="s">
        <v>4</v>
      </c>
      <c r="G713" s="3"/>
    </row>
    <row r="714" spans="1:7" x14ac:dyDescent="0.15">
      <c r="A714" s="2">
        <v>712</v>
      </c>
      <c r="B714" s="3" t="str">
        <f>"向柳青"</f>
        <v>向柳青</v>
      </c>
      <c r="C714" s="3" t="str">
        <f>"女        "</f>
        <v xml:space="preserve">女        </v>
      </c>
      <c r="D714" s="3" t="str">
        <f>"百色学院汉语"</f>
        <v>百色学院汉语</v>
      </c>
      <c r="E714" s="3" t="s">
        <v>10</v>
      </c>
      <c r="F714" s="3" t="s">
        <v>4</v>
      </c>
      <c r="G714" s="3"/>
    </row>
    <row r="715" spans="1:7" x14ac:dyDescent="0.15">
      <c r="A715" s="2">
        <v>713</v>
      </c>
      <c r="B715" s="3" t="str">
        <f>"满阳锁"</f>
        <v>满阳锁</v>
      </c>
      <c r="C715" s="3" t="str">
        <f>"男        "</f>
        <v xml:space="preserve">男        </v>
      </c>
      <c r="D715" s="3" t="str">
        <f>"德宏师范高等专科学校语文教育"</f>
        <v>德宏师范高等专科学校语文教育</v>
      </c>
      <c r="E715" s="3" t="s">
        <v>10</v>
      </c>
      <c r="F715" s="3" t="s">
        <v>4</v>
      </c>
      <c r="G715" s="3"/>
    </row>
    <row r="716" spans="1:7" x14ac:dyDescent="0.15">
      <c r="A716" s="2">
        <v>714</v>
      </c>
      <c r="B716" s="3" t="str">
        <f>"农春桃"</f>
        <v>农春桃</v>
      </c>
      <c r="C716" s="3" t="str">
        <f>"女        "</f>
        <v xml:space="preserve">女        </v>
      </c>
      <c r="D716" s="3" t="str">
        <f>"广西幼儿师范高等专科学校学前教育专业"</f>
        <v>广西幼儿师范高等专科学校学前教育专业</v>
      </c>
      <c r="E716" s="3" t="s">
        <v>10</v>
      </c>
      <c r="F716" s="3" t="s">
        <v>4</v>
      </c>
      <c r="G716" s="3"/>
    </row>
    <row r="717" spans="1:7" x14ac:dyDescent="0.15">
      <c r="A717" s="2">
        <v>715</v>
      </c>
      <c r="B717" s="3" t="str">
        <f>"潘精南"</f>
        <v>潘精南</v>
      </c>
      <c r="C717" s="3" t="str">
        <f>"男        "</f>
        <v xml:space="preserve">男        </v>
      </c>
      <c r="D717" s="3" t="str">
        <f>"广西师范大学计算机科学与技术"</f>
        <v>广西师范大学计算机科学与技术</v>
      </c>
      <c r="E717" s="3" t="str">
        <f t="shared" ref="E717:E718" si="113">"本科"</f>
        <v>本科</v>
      </c>
      <c r="F717" s="3" t="s">
        <v>9</v>
      </c>
      <c r="G717" s="3"/>
    </row>
    <row r="718" spans="1:7" x14ac:dyDescent="0.15">
      <c r="A718" s="2">
        <v>716</v>
      </c>
      <c r="B718" s="3" t="str">
        <f>"李翠益"</f>
        <v>李翠益</v>
      </c>
      <c r="C718" s="3" t="str">
        <f>"女        "</f>
        <v xml:space="preserve">女        </v>
      </c>
      <c r="D718" s="3" t="str">
        <f>"钦州学院油气储运工程"</f>
        <v>钦州学院油气储运工程</v>
      </c>
      <c r="E718" s="3" t="str">
        <f t="shared" si="113"/>
        <v>本科</v>
      </c>
      <c r="F718" s="3" t="s">
        <v>5</v>
      </c>
      <c r="G718" s="3"/>
    </row>
    <row r="719" spans="1:7" x14ac:dyDescent="0.15">
      <c r="A719" s="2">
        <v>717</v>
      </c>
      <c r="B719" s="3" t="str">
        <f>"罗晓艳"</f>
        <v>罗晓艳</v>
      </c>
      <c r="C719" s="3" t="str">
        <f>"女        "</f>
        <v xml:space="preserve">女        </v>
      </c>
      <c r="D719" s="3" t="str">
        <f>"百色学院学前教育"</f>
        <v>百色学院学前教育</v>
      </c>
      <c r="E719" s="3" t="s">
        <v>10</v>
      </c>
      <c r="F719" s="3" t="s">
        <v>4</v>
      </c>
      <c r="G719" s="3"/>
    </row>
    <row r="720" spans="1:7" x14ac:dyDescent="0.15">
      <c r="A720" s="2">
        <v>718</v>
      </c>
      <c r="B720" s="3" t="str">
        <f>"黄训桂"</f>
        <v>黄训桂</v>
      </c>
      <c r="C720" s="3" t="str">
        <f>"男        "</f>
        <v xml:space="preserve">男        </v>
      </c>
      <c r="D720" s="3" t="str">
        <f>"德宏师范高等专科学校数学教育"</f>
        <v>德宏师范高等专科学校数学教育</v>
      </c>
      <c r="E720" s="3" t="str">
        <f t="shared" ref="E720:E722" si="114">"本科"</f>
        <v>本科</v>
      </c>
      <c r="F720" s="3" t="s">
        <v>5</v>
      </c>
      <c r="G720" s="3"/>
    </row>
    <row r="721" spans="1:7" x14ac:dyDescent="0.15">
      <c r="A721" s="2">
        <v>719</v>
      </c>
      <c r="B721" s="3" t="str">
        <f>"何仁泽"</f>
        <v>何仁泽</v>
      </c>
      <c r="C721" s="3" t="str">
        <f>"男        "</f>
        <v xml:space="preserve">男        </v>
      </c>
      <c r="D721" s="3" t="str">
        <f>"云南农业大学社会体育"</f>
        <v>云南农业大学社会体育</v>
      </c>
      <c r="E721" s="3" t="str">
        <f t="shared" si="114"/>
        <v>本科</v>
      </c>
      <c r="F721" s="3" t="s">
        <v>7</v>
      </c>
      <c r="G721" s="3"/>
    </row>
    <row r="722" spans="1:7" x14ac:dyDescent="0.15">
      <c r="A722" s="2">
        <v>720</v>
      </c>
      <c r="B722" s="3" t="str">
        <f>"雷彩华"</f>
        <v>雷彩华</v>
      </c>
      <c r="C722" s="3" t="str">
        <f>"女        "</f>
        <v xml:space="preserve">女        </v>
      </c>
      <c r="D722" s="3" t="str">
        <f>"玉林师范学院应用心理学"</f>
        <v>玉林师范学院应用心理学</v>
      </c>
      <c r="E722" s="3" t="str">
        <f t="shared" si="114"/>
        <v>本科</v>
      </c>
      <c r="F722" s="3" t="s">
        <v>4</v>
      </c>
      <c r="G722" s="3"/>
    </row>
    <row r="723" spans="1:7" x14ac:dyDescent="0.15">
      <c r="A723" s="2">
        <v>721</v>
      </c>
      <c r="B723" s="3" t="str">
        <f>"李忠杰"</f>
        <v>李忠杰</v>
      </c>
      <c r="C723" s="3" t="str">
        <f>"男        "</f>
        <v xml:space="preserve">男        </v>
      </c>
      <c r="D723" s="3" t="str">
        <f>"丽江师范高等专科学校小学教育"</f>
        <v>丽江师范高等专科学校小学教育</v>
      </c>
      <c r="E723" s="3" t="s">
        <v>10</v>
      </c>
      <c r="F723" s="3" t="s">
        <v>5</v>
      </c>
      <c r="G723" s="3"/>
    </row>
    <row r="724" spans="1:7" x14ac:dyDescent="0.15">
      <c r="A724" s="2">
        <v>722</v>
      </c>
      <c r="B724" s="3" t="str">
        <f>"罗光兵"</f>
        <v>罗光兵</v>
      </c>
      <c r="C724" s="3" t="str">
        <f>"男        "</f>
        <v xml:space="preserve">男        </v>
      </c>
      <c r="D724" s="3" t="str">
        <f>"阿坝师范学院初中物理教育"</f>
        <v>阿坝师范学院初中物理教育</v>
      </c>
      <c r="E724" s="3" t="s">
        <v>10</v>
      </c>
      <c r="F724" s="3" t="s">
        <v>5</v>
      </c>
      <c r="G724" s="3"/>
    </row>
    <row r="725" spans="1:7" x14ac:dyDescent="0.15">
      <c r="A725" s="2">
        <v>723</v>
      </c>
      <c r="B725" s="3" t="str">
        <f>"徐小媚"</f>
        <v>徐小媚</v>
      </c>
      <c r="C725" s="3" t="str">
        <f>"女        "</f>
        <v xml:space="preserve">女        </v>
      </c>
      <c r="D725" s="3" t="str">
        <f>"文山学院语文教育"</f>
        <v>文山学院语文教育</v>
      </c>
      <c r="E725" s="3" t="s">
        <v>10</v>
      </c>
      <c r="F725" s="3" t="s">
        <v>4</v>
      </c>
      <c r="G725" s="3"/>
    </row>
    <row r="726" spans="1:7" x14ac:dyDescent="0.15">
      <c r="A726" s="2">
        <v>724</v>
      </c>
      <c r="B726" s="3" t="str">
        <f>"张小义"</f>
        <v>张小义</v>
      </c>
      <c r="C726" s="3" t="str">
        <f>"女        "</f>
        <v xml:space="preserve">女        </v>
      </c>
      <c r="D726" s="3" t="str">
        <f>"兴义民族师范学院学前教育"</f>
        <v>兴义民族师范学院学前教育</v>
      </c>
      <c r="E726" s="3" t="s">
        <v>10</v>
      </c>
      <c r="F726" s="3" t="s">
        <v>4</v>
      </c>
      <c r="G726" s="3"/>
    </row>
    <row r="727" spans="1:7" x14ac:dyDescent="0.15">
      <c r="A727" s="2">
        <v>725</v>
      </c>
      <c r="B727" s="3" t="str">
        <f>"农艳盈"</f>
        <v>农艳盈</v>
      </c>
      <c r="C727" s="3" t="str">
        <f>"女        "</f>
        <v xml:space="preserve">女        </v>
      </c>
      <c r="D727" s="3" t="str">
        <f>"广西教育学院初等教育"</f>
        <v>广西教育学院初等教育</v>
      </c>
      <c r="E727" s="3" t="s">
        <v>10</v>
      </c>
      <c r="F727" s="3" t="s">
        <v>5</v>
      </c>
      <c r="G727" s="3"/>
    </row>
    <row r="728" spans="1:7" x14ac:dyDescent="0.15">
      <c r="A728" s="2">
        <v>726</v>
      </c>
      <c r="B728" s="3" t="str">
        <f>"李雪"</f>
        <v>李雪</v>
      </c>
      <c r="C728" s="3" t="str">
        <f>"女        "</f>
        <v xml:space="preserve">女        </v>
      </c>
      <c r="D728" s="3" t="str">
        <f>"临沧师范高等专科学校化学教育"</f>
        <v>临沧师范高等专科学校化学教育</v>
      </c>
      <c r="E728" s="3" t="s">
        <v>10</v>
      </c>
      <c r="F728" s="3" t="s">
        <v>5</v>
      </c>
      <c r="G728" s="3"/>
    </row>
    <row r="729" spans="1:7" x14ac:dyDescent="0.15">
      <c r="A729" s="2">
        <v>727</v>
      </c>
      <c r="B729" s="3" t="str">
        <f>"陶润"</f>
        <v>陶润</v>
      </c>
      <c r="C729" s="3" t="str">
        <f>"女        "</f>
        <v xml:space="preserve">女        </v>
      </c>
      <c r="D729" s="3" t="str">
        <f>"丽江师范高等专科学校初等教育"</f>
        <v>丽江师范高等专科学校初等教育</v>
      </c>
      <c r="E729" s="3" t="s">
        <v>10</v>
      </c>
      <c r="F729" s="3" t="s">
        <v>5</v>
      </c>
      <c r="G729" s="3"/>
    </row>
    <row r="730" spans="1:7" x14ac:dyDescent="0.15">
      <c r="A730" s="2">
        <v>728</v>
      </c>
      <c r="B730" s="3" t="str">
        <f>"朱万荣"</f>
        <v>朱万荣</v>
      </c>
      <c r="C730" s="3" t="str">
        <f>"男        "</f>
        <v xml:space="preserve">男        </v>
      </c>
      <c r="D730" s="3" t="str">
        <f>"德宏师范高等专科学校数学教育"</f>
        <v>德宏师范高等专科学校数学教育</v>
      </c>
      <c r="E730" s="3" t="s">
        <v>10</v>
      </c>
      <c r="F730" s="3" t="s">
        <v>5</v>
      </c>
      <c r="G730" s="3"/>
    </row>
    <row r="731" spans="1:7" x14ac:dyDescent="0.15">
      <c r="A731" s="2">
        <v>729</v>
      </c>
      <c r="B731" s="3" t="str">
        <f>"蒙啁"</f>
        <v>蒙啁</v>
      </c>
      <c r="C731" s="3" t="str">
        <f>"女        "</f>
        <v xml:space="preserve">女        </v>
      </c>
      <c r="D731" s="3" t="str">
        <f>"丽江师范高等专科学校思想政治教育"</f>
        <v>丽江师范高等专科学校思想政治教育</v>
      </c>
      <c r="E731" s="3" t="s">
        <v>10</v>
      </c>
      <c r="F731" s="3" t="s">
        <v>4</v>
      </c>
      <c r="G731" s="3"/>
    </row>
    <row r="732" spans="1:7" x14ac:dyDescent="0.15">
      <c r="A732" s="2">
        <v>730</v>
      </c>
      <c r="B732" s="3" t="str">
        <f>"赵官德"</f>
        <v>赵官德</v>
      </c>
      <c r="C732" s="3" t="str">
        <f>"男        "</f>
        <v xml:space="preserve">男        </v>
      </c>
      <c r="D732" s="3" t="str">
        <f>"九江职业大学语文教育"</f>
        <v>九江职业大学语文教育</v>
      </c>
      <c r="E732" s="3" t="s">
        <v>10</v>
      </c>
      <c r="F732" s="3" t="s">
        <v>4</v>
      </c>
      <c r="G732" s="3"/>
    </row>
    <row r="733" spans="1:7" x14ac:dyDescent="0.15">
      <c r="A733" s="2">
        <v>731</v>
      </c>
      <c r="B733" s="3" t="str">
        <f>"黄香秋"</f>
        <v>黄香秋</v>
      </c>
      <c r="C733" s="3" t="str">
        <f>"女        "</f>
        <v xml:space="preserve">女        </v>
      </c>
      <c r="D733" s="3" t="str">
        <f>"广西民族师范学院学前教育"</f>
        <v>广西民族师范学院学前教育</v>
      </c>
      <c r="E733" s="3" t="str">
        <f>"本科"</f>
        <v>本科</v>
      </c>
      <c r="F733" s="3" t="s">
        <v>5</v>
      </c>
      <c r="G733" s="3"/>
    </row>
    <row r="734" spans="1:7" x14ac:dyDescent="0.15">
      <c r="A734" s="2">
        <v>732</v>
      </c>
      <c r="B734" s="3" t="str">
        <f>"谢炳增"</f>
        <v>谢炳增</v>
      </c>
      <c r="C734" s="3" t="str">
        <f>"男        "</f>
        <v xml:space="preserve">男        </v>
      </c>
      <c r="D734" s="3" t="str">
        <f>"广西科技师范学院物理教育"</f>
        <v>广西科技师范学院物理教育</v>
      </c>
      <c r="E734" s="3" t="s">
        <v>10</v>
      </c>
      <c r="F734" s="3" t="s">
        <v>9</v>
      </c>
      <c r="G734" s="3"/>
    </row>
    <row r="735" spans="1:7" x14ac:dyDescent="0.15">
      <c r="A735" s="2">
        <v>733</v>
      </c>
      <c r="B735" s="3" t="str">
        <f>"黄丽"</f>
        <v>黄丽</v>
      </c>
      <c r="C735" s="3" t="str">
        <f>"女        "</f>
        <v xml:space="preserve">女        </v>
      </c>
      <c r="D735" s="3" t="str">
        <f>"桂林师范高等专科学校语文教育"</f>
        <v>桂林师范高等专科学校语文教育</v>
      </c>
      <c r="E735" s="3" t="s">
        <v>10</v>
      </c>
      <c r="F735" s="3" t="s">
        <v>4</v>
      </c>
      <c r="G735" s="3"/>
    </row>
    <row r="736" spans="1:7" x14ac:dyDescent="0.15">
      <c r="A736" s="2">
        <v>734</v>
      </c>
      <c r="B736" s="3" t="str">
        <f>"农海连"</f>
        <v>农海连</v>
      </c>
      <c r="C736" s="3" t="str">
        <f>"女        "</f>
        <v xml:space="preserve">女        </v>
      </c>
      <c r="D736" s="3" t="str">
        <f>"文山学院财务管理"</f>
        <v>文山学院财务管理</v>
      </c>
      <c r="E736" s="3" t="str">
        <f t="shared" ref="E736:E738" si="115">"本科"</f>
        <v>本科</v>
      </c>
      <c r="F736" s="3" t="s">
        <v>4</v>
      </c>
      <c r="G736" s="3"/>
    </row>
    <row r="737" spans="1:7" x14ac:dyDescent="0.15">
      <c r="A737" s="2">
        <v>735</v>
      </c>
      <c r="B737" s="3" t="str">
        <f>"覃富"</f>
        <v>覃富</v>
      </c>
      <c r="C737" s="3" t="str">
        <f>"男        "</f>
        <v xml:space="preserve">男        </v>
      </c>
      <c r="D737" s="3" t="str">
        <f>"大理大学音乐学"</f>
        <v>大理大学音乐学</v>
      </c>
      <c r="E737" s="3" t="str">
        <f t="shared" si="115"/>
        <v>本科</v>
      </c>
      <c r="F737" s="3" t="s">
        <v>8</v>
      </c>
      <c r="G737" s="3"/>
    </row>
    <row r="738" spans="1:7" x14ac:dyDescent="0.15">
      <c r="A738" s="2">
        <v>736</v>
      </c>
      <c r="B738" s="3" t="str">
        <f>"杨秋玲"</f>
        <v>杨秋玲</v>
      </c>
      <c r="C738" s="3" t="str">
        <f>"女        "</f>
        <v xml:space="preserve">女        </v>
      </c>
      <c r="D738" s="3" t="str">
        <f>"桂林电子科技大学会计学"</f>
        <v>桂林电子科技大学会计学</v>
      </c>
      <c r="E738" s="3" t="str">
        <f t="shared" si="115"/>
        <v>本科</v>
      </c>
      <c r="F738" s="3" t="s">
        <v>5</v>
      </c>
      <c r="G738" s="3"/>
    </row>
    <row r="739" spans="1:7" x14ac:dyDescent="0.15">
      <c r="A739" s="2">
        <v>737</v>
      </c>
      <c r="B739" s="3" t="str">
        <f>"岑家梅"</f>
        <v>岑家梅</v>
      </c>
      <c r="C739" s="3" t="str">
        <f>"女        "</f>
        <v xml:space="preserve">女        </v>
      </c>
      <c r="D739" s="3" t="str">
        <f>"广西幼儿师范高等专科学校综合理科教育"</f>
        <v>广西幼儿师范高等专科学校综合理科教育</v>
      </c>
      <c r="E739" s="3" t="s">
        <v>10</v>
      </c>
      <c r="F739" s="3" t="s">
        <v>5</v>
      </c>
      <c r="G739" s="3"/>
    </row>
    <row r="740" spans="1:7" x14ac:dyDescent="0.15">
      <c r="A740" s="2">
        <v>738</v>
      </c>
      <c r="B740" s="3" t="str">
        <f>"孙可可"</f>
        <v>孙可可</v>
      </c>
      <c r="C740" s="3" t="str">
        <f>"女        "</f>
        <v xml:space="preserve">女        </v>
      </c>
      <c r="D740" s="3" t="str">
        <f>"广西师范学院师园学院学前教育"</f>
        <v>广西师范学院师园学院学前教育</v>
      </c>
      <c r="E740" s="3" t="str">
        <f t="shared" ref="E740:E742" si="116">"本科"</f>
        <v>本科</v>
      </c>
      <c r="F740" s="3" t="s">
        <v>5</v>
      </c>
      <c r="G740" s="3"/>
    </row>
    <row r="741" spans="1:7" x14ac:dyDescent="0.15">
      <c r="A741" s="2">
        <v>739</v>
      </c>
      <c r="B741" s="3" t="str">
        <f>"陆艳莎"</f>
        <v>陆艳莎</v>
      </c>
      <c r="C741" s="3" t="str">
        <f>"女        "</f>
        <v xml:space="preserve">女        </v>
      </c>
      <c r="D741" s="3" t="str">
        <f>"广西师范学院师园学院英语"</f>
        <v>广西师范学院师园学院英语</v>
      </c>
      <c r="E741" s="3" t="str">
        <f t="shared" si="116"/>
        <v>本科</v>
      </c>
      <c r="F741" s="3" t="s">
        <v>6</v>
      </c>
      <c r="G741" s="3"/>
    </row>
    <row r="742" spans="1:7" x14ac:dyDescent="0.15">
      <c r="A742" s="2">
        <v>740</v>
      </c>
      <c r="B742" s="3" t="str">
        <f>"黄群霞"</f>
        <v>黄群霞</v>
      </c>
      <c r="C742" s="3" t="str">
        <f>"女        "</f>
        <v xml:space="preserve">女        </v>
      </c>
      <c r="D742" s="3" t="str">
        <f>"百色学院体育教育"</f>
        <v>百色学院体育教育</v>
      </c>
      <c r="E742" s="3" t="str">
        <f t="shared" si="116"/>
        <v>本科</v>
      </c>
      <c r="F742" s="3" t="s">
        <v>7</v>
      </c>
      <c r="G742" s="3"/>
    </row>
    <row r="743" spans="1:7" x14ac:dyDescent="0.15">
      <c r="A743" s="2">
        <v>741</v>
      </c>
      <c r="B743" s="3" t="str">
        <f>"韦寿恒"</f>
        <v>韦寿恒</v>
      </c>
      <c r="C743" s="3" t="str">
        <f>"男        "</f>
        <v xml:space="preserve">男        </v>
      </c>
      <c r="D743" s="3" t="str">
        <f>"广西教育学院思想政治教育"</f>
        <v>广西教育学院思想政治教育</v>
      </c>
      <c r="E743" s="3" t="s">
        <v>10</v>
      </c>
      <c r="F743" s="3" t="s">
        <v>5</v>
      </c>
      <c r="G743" s="3"/>
    </row>
    <row r="744" spans="1:7" x14ac:dyDescent="0.15">
      <c r="A744" s="2">
        <v>742</v>
      </c>
      <c r="B744" s="3" t="str">
        <f>"李艳柳"</f>
        <v>李艳柳</v>
      </c>
      <c r="C744" s="3" t="str">
        <f>"女        "</f>
        <v xml:space="preserve">女        </v>
      </c>
      <c r="D744" s="3" t="str">
        <f>"广西师范学院师园学院小学教育"</f>
        <v>广西师范学院师园学院小学教育</v>
      </c>
      <c r="E744" s="3" t="str">
        <f t="shared" ref="E744:E746" si="117">"本科"</f>
        <v>本科</v>
      </c>
      <c r="F744" s="3" t="s">
        <v>5</v>
      </c>
      <c r="G744" s="3"/>
    </row>
    <row r="745" spans="1:7" x14ac:dyDescent="0.15">
      <c r="A745" s="2">
        <v>743</v>
      </c>
      <c r="B745" s="3" t="str">
        <f>"桂腾宏"</f>
        <v>桂腾宏</v>
      </c>
      <c r="C745" s="3" t="str">
        <f>"男        "</f>
        <v xml:space="preserve">男        </v>
      </c>
      <c r="D745" s="3" t="str">
        <f>"楚雄师范学院小学教育"</f>
        <v>楚雄师范学院小学教育</v>
      </c>
      <c r="E745" s="3" t="str">
        <f t="shared" si="117"/>
        <v>本科</v>
      </c>
      <c r="F745" s="3" t="s">
        <v>4</v>
      </c>
      <c r="G745" s="3"/>
    </row>
    <row r="746" spans="1:7" x14ac:dyDescent="0.15">
      <c r="A746" s="2">
        <v>744</v>
      </c>
      <c r="B746" s="3" t="str">
        <f>"凌皓贤"</f>
        <v>凌皓贤</v>
      </c>
      <c r="C746" s="3" t="str">
        <f>"男        "</f>
        <v xml:space="preserve">男        </v>
      </c>
      <c r="D746" s="3" t="str">
        <f>"广西民族大学科学与健康学院体育教育"</f>
        <v>广西民族大学科学与健康学院体育教育</v>
      </c>
      <c r="E746" s="3" t="str">
        <f t="shared" si="117"/>
        <v>本科</v>
      </c>
      <c r="F746" s="3" t="s">
        <v>7</v>
      </c>
      <c r="G746" s="3"/>
    </row>
    <row r="747" spans="1:7" x14ac:dyDescent="0.15">
      <c r="A747" s="2">
        <v>745</v>
      </c>
      <c r="B747" s="3" t="str">
        <f>"刘晓燕"</f>
        <v>刘晓燕</v>
      </c>
      <c r="C747" s="3" t="str">
        <f t="shared" ref="C747:C755" si="118">"女        "</f>
        <v xml:space="preserve">女        </v>
      </c>
      <c r="D747" s="3" t="str">
        <f>"德宏师范高等专科学校初等教育理科"</f>
        <v>德宏师范高等专科学校初等教育理科</v>
      </c>
      <c r="E747" s="3" t="s">
        <v>10</v>
      </c>
      <c r="F747" s="3" t="s">
        <v>5</v>
      </c>
      <c r="G747" s="3"/>
    </row>
    <row r="748" spans="1:7" x14ac:dyDescent="0.15">
      <c r="A748" s="2">
        <v>746</v>
      </c>
      <c r="B748" s="3" t="str">
        <f>"农祥在"</f>
        <v>农祥在</v>
      </c>
      <c r="C748" s="3" t="str">
        <f t="shared" si="118"/>
        <v xml:space="preserve">女        </v>
      </c>
      <c r="D748" s="3" t="str">
        <f>"广西师范学院社会工作"</f>
        <v>广西师范学院社会工作</v>
      </c>
      <c r="E748" s="3" t="str">
        <f t="shared" ref="E748:E749" si="119">"本科"</f>
        <v>本科</v>
      </c>
      <c r="F748" s="3" t="s">
        <v>4</v>
      </c>
      <c r="G748" s="3"/>
    </row>
    <row r="749" spans="1:7" x14ac:dyDescent="0.15">
      <c r="A749" s="2">
        <v>747</v>
      </c>
      <c r="B749" s="3" t="str">
        <f>"凌美桃"</f>
        <v>凌美桃</v>
      </c>
      <c r="C749" s="3" t="str">
        <f t="shared" si="118"/>
        <v xml:space="preserve">女        </v>
      </c>
      <c r="D749" s="3" t="str">
        <f>"太原师范学院学前教育"</f>
        <v>太原师范学院学前教育</v>
      </c>
      <c r="E749" s="3" t="str">
        <f t="shared" si="119"/>
        <v>本科</v>
      </c>
      <c r="F749" s="3" t="s">
        <v>5</v>
      </c>
      <c r="G749" s="3"/>
    </row>
    <row r="750" spans="1:7" x14ac:dyDescent="0.15">
      <c r="A750" s="2">
        <v>748</v>
      </c>
      <c r="B750" s="3" t="str">
        <f>"何丽琴"</f>
        <v>何丽琴</v>
      </c>
      <c r="C750" s="3" t="str">
        <f t="shared" si="118"/>
        <v xml:space="preserve">女        </v>
      </c>
      <c r="D750" s="3" t="str">
        <f>"百色学院学前教育"</f>
        <v>百色学院学前教育</v>
      </c>
      <c r="E750" s="3" t="s">
        <v>10</v>
      </c>
      <c r="F750" s="3" t="s">
        <v>5</v>
      </c>
      <c r="G750" s="3"/>
    </row>
    <row r="751" spans="1:7" x14ac:dyDescent="0.15">
      <c r="A751" s="2">
        <v>749</v>
      </c>
      <c r="B751" s="3" t="str">
        <f>"廖荣芳"</f>
        <v>廖荣芳</v>
      </c>
      <c r="C751" s="3" t="str">
        <f t="shared" si="118"/>
        <v xml:space="preserve">女        </v>
      </c>
      <c r="D751" s="3" t="str">
        <f>"河池学院贸易经济"</f>
        <v>河池学院贸易经济</v>
      </c>
      <c r="E751" s="3" t="str">
        <f>"本科"</f>
        <v>本科</v>
      </c>
      <c r="F751" s="3" t="s">
        <v>5</v>
      </c>
      <c r="G751" s="3"/>
    </row>
    <row r="752" spans="1:7" x14ac:dyDescent="0.15">
      <c r="A752" s="2">
        <v>750</v>
      </c>
      <c r="B752" s="3" t="str">
        <f>"李红霞"</f>
        <v>李红霞</v>
      </c>
      <c r="C752" s="3" t="str">
        <f t="shared" si="118"/>
        <v xml:space="preserve">女        </v>
      </c>
      <c r="D752" s="3" t="str">
        <f>"广西教育学院特殊教育"</f>
        <v>广西教育学院特殊教育</v>
      </c>
      <c r="E752" s="3" t="s">
        <v>10</v>
      </c>
      <c r="F752" s="3" t="s">
        <v>5</v>
      </c>
      <c r="G752" s="3"/>
    </row>
    <row r="753" spans="1:7" x14ac:dyDescent="0.15">
      <c r="A753" s="2">
        <v>751</v>
      </c>
      <c r="B753" s="3" t="str">
        <f>"陈晓"</f>
        <v>陈晓</v>
      </c>
      <c r="C753" s="3" t="str">
        <f t="shared" si="118"/>
        <v xml:space="preserve">女        </v>
      </c>
      <c r="D753" s="3" t="str">
        <f>"云南师范大学泰语"</f>
        <v>云南师范大学泰语</v>
      </c>
      <c r="E753" s="3" t="str">
        <f t="shared" ref="E753:E754" si="120">"本科"</f>
        <v>本科</v>
      </c>
      <c r="F753" s="3" t="s">
        <v>4</v>
      </c>
      <c r="G753" s="3"/>
    </row>
    <row r="754" spans="1:7" x14ac:dyDescent="0.15">
      <c r="A754" s="2">
        <v>752</v>
      </c>
      <c r="B754" s="3" t="str">
        <f>"李宇英"</f>
        <v>李宇英</v>
      </c>
      <c r="C754" s="3" t="str">
        <f t="shared" si="118"/>
        <v xml:space="preserve">女        </v>
      </c>
      <c r="D754" s="3" t="str">
        <f>"云南师范大学旅游管理"</f>
        <v>云南师范大学旅游管理</v>
      </c>
      <c r="E754" s="3" t="str">
        <f t="shared" si="120"/>
        <v>本科</v>
      </c>
      <c r="F754" s="3" t="s">
        <v>5</v>
      </c>
      <c r="G754" s="3"/>
    </row>
    <row r="755" spans="1:7" x14ac:dyDescent="0.15">
      <c r="A755" s="2">
        <v>753</v>
      </c>
      <c r="B755" s="3" t="str">
        <f>"刘芳慧"</f>
        <v>刘芳慧</v>
      </c>
      <c r="C755" s="3" t="str">
        <f t="shared" si="118"/>
        <v xml:space="preserve">女        </v>
      </c>
      <c r="D755" s="3" t="str">
        <f>"德宏师范高等专科学校生物教育"</f>
        <v>德宏师范高等专科学校生物教育</v>
      </c>
      <c r="E755" s="3" t="s">
        <v>10</v>
      </c>
      <c r="F755" s="3" t="s">
        <v>5</v>
      </c>
      <c r="G755" s="3"/>
    </row>
    <row r="756" spans="1:7" x14ac:dyDescent="0.15">
      <c r="A756" s="2">
        <v>754</v>
      </c>
      <c r="B756" s="3" t="str">
        <f>"吴焕祥"</f>
        <v>吴焕祥</v>
      </c>
      <c r="C756" s="3" t="str">
        <f>"男        "</f>
        <v xml:space="preserve">男        </v>
      </c>
      <c r="D756" s="3" t="str">
        <f>"德宏师范高等专科学校初等教育"</f>
        <v>德宏师范高等专科学校初等教育</v>
      </c>
      <c r="E756" s="3" t="s">
        <v>10</v>
      </c>
      <c r="F756" s="3" t="s">
        <v>5</v>
      </c>
      <c r="G756" s="3"/>
    </row>
    <row r="757" spans="1:7" x14ac:dyDescent="0.15">
      <c r="A757" s="2">
        <v>755</v>
      </c>
      <c r="B757" s="3" t="str">
        <f>"余彬"</f>
        <v>余彬</v>
      </c>
      <c r="C757" s="3" t="str">
        <f>"男        "</f>
        <v xml:space="preserve">男        </v>
      </c>
      <c r="D757" s="3" t="str">
        <f>"广西民族师范学院汉语言文学"</f>
        <v>广西民族师范学院汉语言文学</v>
      </c>
      <c r="E757" s="3" t="str">
        <f>"本科"</f>
        <v>本科</v>
      </c>
      <c r="F757" s="3" t="s">
        <v>4</v>
      </c>
      <c r="G757" s="3"/>
    </row>
    <row r="758" spans="1:7" x14ac:dyDescent="0.15">
      <c r="A758" s="2">
        <v>756</v>
      </c>
      <c r="B758" s="3" t="str">
        <f>"陆涵"</f>
        <v>陆涵</v>
      </c>
      <c r="C758" s="3" t="str">
        <f>"女        "</f>
        <v xml:space="preserve">女        </v>
      </c>
      <c r="D758" s="3" t="str">
        <f>"普洱学院初等教育"</f>
        <v>普洱学院初等教育</v>
      </c>
      <c r="E758" s="3" t="s">
        <v>10</v>
      </c>
      <c r="F758" s="3" t="s">
        <v>4</v>
      </c>
      <c r="G758" s="3"/>
    </row>
    <row r="759" spans="1:7" x14ac:dyDescent="0.15">
      <c r="A759" s="2">
        <v>757</v>
      </c>
      <c r="B759" s="3" t="str">
        <f>"谭玉莲"</f>
        <v>谭玉莲</v>
      </c>
      <c r="C759" s="3" t="str">
        <f>"女        "</f>
        <v xml:space="preserve">女        </v>
      </c>
      <c r="D759" s="3" t="str">
        <f>"云南中医学院应用心理学"</f>
        <v>云南中医学院应用心理学</v>
      </c>
      <c r="E759" s="3" t="str">
        <f>"本科"</f>
        <v>本科</v>
      </c>
      <c r="F759" s="3" t="s">
        <v>4</v>
      </c>
      <c r="G759" s="3"/>
    </row>
    <row r="760" spans="1:7" x14ac:dyDescent="0.15">
      <c r="A760" s="2">
        <v>758</v>
      </c>
      <c r="B760" s="3" t="str">
        <f>"黄忠剑"</f>
        <v>黄忠剑</v>
      </c>
      <c r="C760" s="3" t="str">
        <f>"男        "</f>
        <v xml:space="preserve">男        </v>
      </c>
      <c r="D760" s="3" t="str">
        <f>"百色学院汉语"</f>
        <v>百色学院汉语</v>
      </c>
      <c r="E760" s="3" t="s">
        <v>10</v>
      </c>
      <c r="F760" s="3" t="s">
        <v>4</v>
      </c>
      <c r="G760" s="3"/>
    </row>
    <row r="761" spans="1:7" x14ac:dyDescent="0.15">
      <c r="A761" s="2">
        <v>759</v>
      </c>
      <c r="B761" s="3" t="str">
        <f>"黄玉萍"</f>
        <v>黄玉萍</v>
      </c>
      <c r="C761" s="3" t="str">
        <f>"女        "</f>
        <v xml:space="preserve">女        </v>
      </c>
      <c r="D761" s="3" t="str">
        <f>"玉林师范学院生物技术"</f>
        <v>玉林师范学院生物技术</v>
      </c>
      <c r="E761" s="3" t="str">
        <f t="shared" ref="E761:E762" si="121">"本科"</f>
        <v>本科</v>
      </c>
      <c r="F761" s="3" t="s">
        <v>4</v>
      </c>
      <c r="G761" s="3"/>
    </row>
    <row r="762" spans="1:7" x14ac:dyDescent="0.15">
      <c r="A762" s="2">
        <v>760</v>
      </c>
      <c r="B762" s="3" t="str">
        <f>"胡发禄"</f>
        <v>胡发禄</v>
      </c>
      <c r="C762" s="3" t="str">
        <f>"男        "</f>
        <v xml:space="preserve">男        </v>
      </c>
      <c r="D762" s="3" t="str">
        <f>"大理大学社会体育"</f>
        <v>大理大学社会体育</v>
      </c>
      <c r="E762" s="3" t="str">
        <f t="shared" si="121"/>
        <v>本科</v>
      </c>
      <c r="F762" s="3" t="s">
        <v>7</v>
      </c>
      <c r="G762" s="3"/>
    </row>
    <row r="763" spans="1:7" x14ac:dyDescent="0.15">
      <c r="A763" s="2">
        <v>761</v>
      </c>
      <c r="B763" s="3" t="str">
        <f>"何秀丽"</f>
        <v>何秀丽</v>
      </c>
      <c r="C763" s="3" t="str">
        <f t="shared" ref="C763:C772" si="122">"女        "</f>
        <v xml:space="preserve">女        </v>
      </c>
      <c r="D763" s="3" t="str">
        <f>"广西教育学院数学教育"</f>
        <v>广西教育学院数学教育</v>
      </c>
      <c r="E763" s="3" t="s">
        <v>10</v>
      </c>
      <c r="F763" s="3" t="s">
        <v>5</v>
      </c>
      <c r="G763" s="3"/>
    </row>
    <row r="764" spans="1:7" x14ac:dyDescent="0.15">
      <c r="A764" s="2">
        <v>762</v>
      </c>
      <c r="B764" s="3" t="str">
        <f>"吕茜"</f>
        <v>吕茜</v>
      </c>
      <c r="C764" s="3" t="str">
        <f t="shared" si="122"/>
        <v xml:space="preserve">女        </v>
      </c>
      <c r="D764" s="3" t="str">
        <f>"昭通学院语文"</f>
        <v>昭通学院语文</v>
      </c>
      <c r="E764" s="3" t="s">
        <v>10</v>
      </c>
      <c r="F764" s="3" t="s">
        <v>4</v>
      </c>
      <c r="G764" s="3"/>
    </row>
    <row r="765" spans="1:7" x14ac:dyDescent="0.15">
      <c r="A765" s="2">
        <v>763</v>
      </c>
      <c r="B765" s="3" t="str">
        <f>"黄艳玉"</f>
        <v>黄艳玉</v>
      </c>
      <c r="C765" s="3" t="str">
        <f t="shared" si="122"/>
        <v xml:space="preserve">女        </v>
      </c>
      <c r="D765" s="3" t="str">
        <f>"云南省昆明理工大学城市学院财务管理"</f>
        <v>云南省昆明理工大学城市学院财务管理</v>
      </c>
      <c r="E765" s="3" t="str">
        <f t="shared" ref="E765:E766" si="123">"本科"</f>
        <v>本科</v>
      </c>
      <c r="F765" s="3" t="s">
        <v>4</v>
      </c>
      <c r="G765" s="3"/>
    </row>
    <row r="766" spans="1:7" x14ac:dyDescent="0.15">
      <c r="A766" s="2">
        <v>764</v>
      </c>
      <c r="B766" s="3" t="str">
        <f>"唐六云"</f>
        <v>唐六云</v>
      </c>
      <c r="C766" s="3" t="str">
        <f t="shared" si="122"/>
        <v xml:space="preserve">女        </v>
      </c>
      <c r="D766" s="3" t="str">
        <f>"文山学院小学教育"</f>
        <v>文山学院小学教育</v>
      </c>
      <c r="E766" s="3" t="str">
        <f t="shared" si="123"/>
        <v>本科</v>
      </c>
      <c r="F766" s="3" t="s">
        <v>4</v>
      </c>
      <c r="G766" s="3"/>
    </row>
    <row r="767" spans="1:7" x14ac:dyDescent="0.15">
      <c r="A767" s="2">
        <v>765</v>
      </c>
      <c r="B767" s="3" t="str">
        <f>"李应卯"</f>
        <v>李应卯</v>
      </c>
      <c r="C767" s="3" t="str">
        <f t="shared" si="122"/>
        <v xml:space="preserve">女        </v>
      </c>
      <c r="D767" s="3" t="str">
        <f>"广西幼儿师范高等专科学校学期教育"</f>
        <v>广西幼儿师范高等专科学校学期教育</v>
      </c>
      <c r="E767" s="3" t="s">
        <v>10</v>
      </c>
      <c r="F767" s="3" t="s">
        <v>4</v>
      </c>
      <c r="G767" s="3"/>
    </row>
    <row r="768" spans="1:7" x14ac:dyDescent="0.15">
      <c r="A768" s="2">
        <v>766</v>
      </c>
      <c r="B768" s="3" t="str">
        <f>"陈达娇"</f>
        <v>陈达娇</v>
      </c>
      <c r="C768" s="3" t="str">
        <f t="shared" si="122"/>
        <v xml:space="preserve">女        </v>
      </c>
      <c r="D768" s="3" t="str">
        <f>"昆明学院化学"</f>
        <v>昆明学院化学</v>
      </c>
      <c r="E768" s="3" t="str">
        <f t="shared" ref="E768:E770" si="124">"本科"</f>
        <v>本科</v>
      </c>
      <c r="F768" s="3" t="s">
        <v>5</v>
      </c>
      <c r="G768" s="3"/>
    </row>
    <row r="769" spans="1:7" x14ac:dyDescent="0.15">
      <c r="A769" s="2">
        <v>767</v>
      </c>
      <c r="B769" s="3" t="str">
        <f>"罗凤全"</f>
        <v>罗凤全</v>
      </c>
      <c r="C769" s="3" t="str">
        <f t="shared" si="122"/>
        <v xml:space="preserve">女        </v>
      </c>
      <c r="D769" s="3" t="str">
        <f>"广西师范学院播音与主持艺术空中乘务方向"</f>
        <v>广西师范学院播音与主持艺术空中乘务方向</v>
      </c>
      <c r="E769" s="3" t="str">
        <f t="shared" si="124"/>
        <v>本科</v>
      </c>
      <c r="F769" s="3" t="s">
        <v>4</v>
      </c>
      <c r="G769" s="3"/>
    </row>
    <row r="770" spans="1:7" x14ac:dyDescent="0.15">
      <c r="A770" s="2">
        <v>768</v>
      </c>
      <c r="B770" s="3" t="str">
        <f>"黄永仙"</f>
        <v>黄永仙</v>
      </c>
      <c r="C770" s="3" t="str">
        <f t="shared" si="122"/>
        <v xml:space="preserve">女        </v>
      </c>
      <c r="D770" s="3" t="str">
        <f>"玉溪师范学院社会工作"</f>
        <v>玉溪师范学院社会工作</v>
      </c>
      <c r="E770" s="3" t="str">
        <f t="shared" si="124"/>
        <v>本科</v>
      </c>
      <c r="F770" s="3" t="s">
        <v>4</v>
      </c>
      <c r="G770" s="3"/>
    </row>
    <row r="771" spans="1:7" x14ac:dyDescent="0.15">
      <c r="A771" s="2">
        <v>769</v>
      </c>
      <c r="B771" s="3" t="str">
        <f>"黄凤娟"</f>
        <v>黄凤娟</v>
      </c>
      <c r="C771" s="3" t="str">
        <f t="shared" si="122"/>
        <v xml:space="preserve">女        </v>
      </c>
      <c r="D771" s="3" t="str">
        <f>"文山学院初等教育"</f>
        <v>文山学院初等教育</v>
      </c>
      <c r="E771" s="3" t="s">
        <v>10</v>
      </c>
      <c r="F771" s="3" t="s">
        <v>4</v>
      </c>
      <c r="G771" s="3"/>
    </row>
    <row r="772" spans="1:7" x14ac:dyDescent="0.15">
      <c r="A772" s="2">
        <v>770</v>
      </c>
      <c r="B772" s="3" t="str">
        <f>"王丽秋"</f>
        <v>王丽秋</v>
      </c>
      <c r="C772" s="3" t="str">
        <f t="shared" si="122"/>
        <v xml:space="preserve">女        </v>
      </c>
      <c r="D772" s="3" t="str">
        <f>"广西教育学院思想政治"</f>
        <v>广西教育学院思想政治</v>
      </c>
      <c r="E772" s="3" t="s">
        <v>10</v>
      </c>
      <c r="F772" s="3" t="s">
        <v>5</v>
      </c>
      <c r="G772" s="3"/>
    </row>
    <row r="773" spans="1:7" x14ac:dyDescent="0.15">
      <c r="A773" s="2">
        <v>771</v>
      </c>
      <c r="B773" s="3" t="str">
        <f>"司福林"</f>
        <v>司福林</v>
      </c>
      <c r="C773" s="3" t="str">
        <f>"男        "</f>
        <v xml:space="preserve">男        </v>
      </c>
      <c r="D773" s="3" t="str">
        <f>"曲靖师院语文教育"</f>
        <v>曲靖师院语文教育</v>
      </c>
      <c r="E773" s="3" t="s">
        <v>10</v>
      </c>
      <c r="F773" s="3" t="s">
        <v>4</v>
      </c>
      <c r="G773" s="3"/>
    </row>
    <row r="774" spans="1:7" x14ac:dyDescent="0.15">
      <c r="A774" s="2">
        <v>772</v>
      </c>
      <c r="B774" s="3" t="str">
        <f>"杨成菊"</f>
        <v>杨成菊</v>
      </c>
      <c r="C774" s="3" t="str">
        <f>"女        "</f>
        <v xml:space="preserve">女        </v>
      </c>
      <c r="D774" s="3" t="str">
        <f>"黔南民族幼儿师范高等专科学校语文教育"</f>
        <v>黔南民族幼儿师范高等专科学校语文教育</v>
      </c>
      <c r="E774" s="3" t="s">
        <v>10</v>
      </c>
      <c r="F774" s="3" t="s">
        <v>4</v>
      </c>
      <c r="G774" s="3"/>
    </row>
    <row r="775" spans="1:7" x14ac:dyDescent="0.15">
      <c r="A775" s="2">
        <v>773</v>
      </c>
      <c r="B775" s="3" t="str">
        <f>"谭跃妮"</f>
        <v>谭跃妮</v>
      </c>
      <c r="C775" s="3" t="str">
        <f>"女        "</f>
        <v xml:space="preserve">女        </v>
      </c>
      <c r="D775" s="3" t="str">
        <f>"云南民族大学旅游管理"</f>
        <v>云南民族大学旅游管理</v>
      </c>
      <c r="E775" s="3" t="str">
        <f>"本科"</f>
        <v>本科</v>
      </c>
      <c r="F775" s="3" t="s">
        <v>4</v>
      </c>
      <c r="G775" s="3"/>
    </row>
    <row r="776" spans="1:7" x14ac:dyDescent="0.15">
      <c r="A776" s="2">
        <v>774</v>
      </c>
      <c r="B776" s="3" t="str">
        <f>"韦日暖"</f>
        <v>韦日暖</v>
      </c>
      <c r="C776" s="3" t="str">
        <f>"女        "</f>
        <v xml:space="preserve">女        </v>
      </c>
      <c r="D776" s="3" t="str">
        <f>"广西教育学院现代教育技术"</f>
        <v>广西教育学院现代教育技术</v>
      </c>
      <c r="E776" s="3" t="s">
        <v>10</v>
      </c>
      <c r="F776" s="3" t="s">
        <v>5</v>
      </c>
      <c r="G776" s="3"/>
    </row>
    <row r="777" spans="1:7" x14ac:dyDescent="0.15">
      <c r="A777" s="2">
        <v>775</v>
      </c>
      <c r="B777" s="3" t="str">
        <f>"罗军"</f>
        <v>罗军</v>
      </c>
      <c r="C777" s="3" t="str">
        <f>"男        "</f>
        <v xml:space="preserve">男        </v>
      </c>
      <c r="D777" s="3" t="str">
        <f>"贵阳学院语文教育"</f>
        <v>贵阳学院语文教育</v>
      </c>
      <c r="E777" s="3" t="s">
        <v>10</v>
      </c>
      <c r="F777" s="3" t="s">
        <v>4</v>
      </c>
      <c r="G777" s="3"/>
    </row>
    <row r="778" spans="1:7" x14ac:dyDescent="0.15">
      <c r="A778" s="2">
        <v>776</v>
      </c>
      <c r="B778" s="3" t="str">
        <f>"刘仁耿"</f>
        <v>刘仁耿</v>
      </c>
      <c r="C778" s="3" t="str">
        <f>"男        "</f>
        <v xml:space="preserve">男        </v>
      </c>
      <c r="D778" s="3" t="str">
        <f>"广西财经学院工程造价"</f>
        <v>广西财经学院工程造价</v>
      </c>
      <c r="E778" s="3" t="str">
        <f>"本科"</f>
        <v>本科</v>
      </c>
      <c r="F778" s="3" t="s">
        <v>7</v>
      </c>
      <c r="G778" s="3"/>
    </row>
    <row r="779" spans="1:7" x14ac:dyDescent="0.15">
      <c r="A779" s="2">
        <v>777</v>
      </c>
      <c r="B779" s="3" t="str">
        <f>"段红跃"</f>
        <v>段红跃</v>
      </c>
      <c r="C779" s="3" t="str">
        <f>"男        "</f>
        <v xml:space="preserve">男        </v>
      </c>
      <c r="D779" s="3" t="str">
        <f>"昭通学院语文教育"</f>
        <v>昭通学院语文教育</v>
      </c>
      <c r="E779" s="3" t="s">
        <v>10</v>
      </c>
      <c r="F779" s="3" t="s">
        <v>4</v>
      </c>
      <c r="G779" s="3"/>
    </row>
    <row r="780" spans="1:7" x14ac:dyDescent="0.15">
      <c r="A780" s="2">
        <v>778</v>
      </c>
      <c r="B780" s="3" t="str">
        <f>"肖大辉"</f>
        <v>肖大辉</v>
      </c>
      <c r="C780" s="3" t="str">
        <f>"男        "</f>
        <v xml:space="preserve">男        </v>
      </c>
      <c r="D780" s="3" t="str">
        <f>"云南大学旅游文化学院金融学"</f>
        <v>云南大学旅游文化学院金融学</v>
      </c>
      <c r="E780" s="3" t="str">
        <f>"本科"</f>
        <v>本科</v>
      </c>
      <c r="F780" s="3" t="s">
        <v>5</v>
      </c>
      <c r="G780" s="3"/>
    </row>
    <row r="781" spans="1:7" x14ac:dyDescent="0.15">
      <c r="A781" s="2">
        <v>779</v>
      </c>
      <c r="B781" s="3" t="str">
        <f>"蒙睿"</f>
        <v>蒙睿</v>
      </c>
      <c r="C781" s="3" t="str">
        <f>"男        "</f>
        <v xml:space="preserve">男        </v>
      </c>
      <c r="D781" s="3" t="str">
        <f>"兴义民族师范学院语文教育"</f>
        <v>兴义民族师范学院语文教育</v>
      </c>
      <c r="E781" s="3" t="s">
        <v>10</v>
      </c>
      <c r="F781" s="3" t="s">
        <v>4</v>
      </c>
      <c r="G781" s="3"/>
    </row>
    <row r="782" spans="1:7" x14ac:dyDescent="0.15">
      <c r="A782" s="2">
        <v>780</v>
      </c>
      <c r="B782" s="3" t="str">
        <f>"黄文兰"</f>
        <v>黄文兰</v>
      </c>
      <c r="C782" s="3" t="str">
        <f>"女        "</f>
        <v xml:space="preserve">女        </v>
      </c>
      <c r="D782" s="3" t="str">
        <f>"玉林师范学院计算机科学与技术"</f>
        <v>玉林师范学院计算机科学与技术</v>
      </c>
      <c r="E782" s="3" t="str">
        <f>"本科"</f>
        <v>本科</v>
      </c>
      <c r="F782" s="3" t="s">
        <v>5</v>
      </c>
      <c r="G782" s="3"/>
    </row>
    <row r="783" spans="1:7" x14ac:dyDescent="0.15">
      <c r="A783" s="2">
        <v>781</v>
      </c>
      <c r="B783" s="3" t="str">
        <f>"农玉蓉"</f>
        <v>农玉蓉</v>
      </c>
      <c r="C783" s="3" t="str">
        <f>"女        "</f>
        <v xml:space="preserve">女        </v>
      </c>
      <c r="D783" s="3" t="str">
        <f>"百色学院学前教育"</f>
        <v>百色学院学前教育</v>
      </c>
      <c r="E783" s="3" t="s">
        <v>10</v>
      </c>
      <c r="F783" s="3" t="s">
        <v>5</v>
      </c>
      <c r="G783" s="3"/>
    </row>
    <row r="784" spans="1:7" x14ac:dyDescent="0.15">
      <c r="A784" s="2">
        <v>782</v>
      </c>
      <c r="B784" s="3" t="str">
        <f>"杨梅"</f>
        <v>杨梅</v>
      </c>
      <c r="C784" s="3" t="str">
        <f>"女        "</f>
        <v xml:space="preserve">女        </v>
      </c>
      <c r="D784" s="3" t="str">
        <f>"文山学院初等教育"</f>
        <v>文山学院初等教育</v>
      </c>
      <c r="E784" s="3" t="s">
        <v>10</v>
      </c>
      <c r="F784" s="3" t="s">
        <v>4</v>
      </c>
      <c r="G784" s="3"/>
    </row>
    <row r="785" spans="1:7" x14ac:dyDescent="0.15">
      <c r="A785" s="2">
        <v>783</v>
      </c>
      <c r="B785" s="3" t="str">
        <f>"韦东新"</f>
        <v>韦东新</v>
      </c>
      <c r="C785" s="3" t="str">
        <f>"男        "</f>
        <v xml:space="preserve">男        </v>
      </c>
      <c r="D785" s="3" t="str">
        <f>"南宁地区教育学院数学教育"</f>
        <v>南宁地区教育学院数学教育</v>
      </c>
      <c r="E785" s="3" t="s">
        <v>10</v>
      </c>
      <c r="F785" s="3" t="s">
        <v>5</v>
      </c>
      <c r="G785" s="3"/>
    </row>
    <row r="786" spans="1:7" x14ac:dyDescent="0.15">
      <c r="A786" s="2">
        <v>784</v>
      </c>
      <c r="B786" s="3" t="str">
        <f>"瞿国丽"</f>
        <v>瞿国丽</v>
      </c>
      <c r="C786" s="3" t="str">
        <f>"女        "</f>
        <v xml:space="preserve">女        </v>
      </c>
      <c r="D786" s="3" t="str">
        <f>"丽江师范高等专科学校现代教育技术"</f>
        <v>丽江师范高等专科学校现代教育技术</v>
      </c>
      <c r="E786" s="3" t="s">
        <v>10</v>
      </c>
      <c r="F786" s="3" t="s">
        <v>5</v>
      </c>
      <c r="G786" s="3"/>
    </row>
    <row r="787" spans="1:7" x14ac:dyDescent="0.15">
      <c r="A787" s="2">
        <v>785</v>
      </c>
      <c r="B787" s="3" t="str">
        <f>"李金城"</f>
        <v>李金城</v>
      </c>
      <c r="C787" s="3" t="str">
        <f>"女        "</f>
        <v xml:space="preserve">女        </v>
      </c>
      <c r="D787" s="3" t="str">
        <f>"广西民族师范学院汉语言文学"</f>
        <v>广西民族师范学院汉语言文学</v>
      </c>
      <c r="E787" s="3" t="str">
        <f t="shared" ref="E787:E792" si="125">"本科"</f>
        <v>本科</v>
      </c>
      <c r="F787" s="3" t="s">
        <v>4</v>
      </c>
      <c r="G787" s="3"/>
    </row>
    <row r="788" spans="1:7" x14ac:dyDescent="0.15">
      <c r="A788" s="2">
        <v>786</v>
      </c>
      <c r="B788" s="3" t="str">
        <f>"陈庆滔"</f>
        <v>陈庆滔</v>
      </c>
      <c r="C788" s="3" t="str">
        <f>"男        "</f>
        <v xml:space="preserve">男        </v>
      </c>
      <c r="D788" s="3" t="str">
        <f>"红河学院财务管理"</f>
        <v>红河学院财务管理</v>
      </c>
      <c r="E788" s="3" t="str">
        <f t="shared" si="125"/>
        <v>本科</v>
      </c>
      <c r="F788" s="3" t="s">
        <v>5</v>
      </c>
      <c r="G788" s="3"/>
    </row>
    <row r="789" spans="1:7" x14ac:dyDescent="0.15">
      <c r="A789" s="2">
        <v>787</v>
      </c>
      <c r="B789" s="3" t="str">
        <f>"潘星福"</f>
        <v>潘星福</v>
      </c>
      <c r="C789" s="3" t="str">
        <f>"男        "</f>
        <v xml:space="preserve">男        </v>
      </c>
      <c r="D789" s="3" t="str">
        <f>"桂林电子科技大学机械设计制造及其自动化"</f>
        <v>桂林电子科技大学机械设计制造及其自动化</v>
      </c>
      <c r="E789" s="3" t="str">
        <f t="shared" si="125"/>
        <v>本科</v>
      </c>
      <c r="F789" s="3" t="s">
        <v>5</v>
      </c>
      <c r="G789" s="3"/>
    </row>
    <row r="790" spans="1:7" x14ac:dyDescent="0.15">
      <c r="A790" s="2">
        <v>788</v>
      </c>
      <c r="B790" s="3" t="str">
        <f>"张秀春"</f>
        <v>张秀春</v>
      </c>
      <c r="C790" s="3" t="str">
        <f>"女        "</f>
        <v xml:space="preserve">女        </v>
      </c>
      <c r="D790" s="3" t="str">
        <f>"广西民族大学工商管理"</f>
        <v>广西民族大学工商管理</v>
      </c>
      <c r="E790" s="3" t="str">
        <f t="shared" si="125"/>
        <v>本科</v>
      </c>
      <c r="F790" s="3" t="s">
        <v>5</v>
      </c>
      <c r="G790" s="3"/>
    </row>
    <row r="791" spans="1:7" x14ac:dyDescent="0.15">
      <c r="A791" s="2">
        <v>789</v>
      </c>
      <c r="B791" s="3" t="str">
        <f>"刘婷"</f>
        <v>刘婷</v>
      </c>
      <c r="C791" s="3" t="str">
        <f>"女        "</f>
        <v xml:space="preserve">女        </v>
      </c>
      <c r="D791" s="3" t="str">
        <f>"红河学院化学"</f>
        <v>红河学院化学</v>
      </c>
      <c r="E791" s="3" t="str">
        <f t="shared" si="125"/>
        <v>本科</v>
      </c>
      <c r="F791" s="3" t="s">
        <v>5</v>
      </c>
      <c r="G791" s="3"/>
    </row>
    <row r="792" spans="1:7" x14ac:dyDescent="0.15">
      <c r="A792" s="2">
        <v>790</v>
      </c>
      <c r="B792" s="3" t="str">
        <f>"赵俊霖"</f>
        <v>赵俊霖</v>
      </c>
      <c r="C792" s="3" t="str">
        <f>"女        "</f>
        <v xml:space="preserve">女        </v>
      </c>
      <c r="D792" s="3" t="str">
        <f>"云南工商学院工商管理"</f>
        <v>云南工商学院工商管理</v>
      </c>
      <c r="E792" s="3" t="str">
        <f t="shared" si="125"/>
        <v>本科</v>
      </c>
      <c r="F792" s="3" t="s">
        <v>4</v>
      </c>
      <c r="G792" s="3"/>
    </row>
    <row r="793" spans="1:7" x14ac:dyDescent="0.15">
      <c r="A793" s="2">
        <v>791</v>
      </c>
      <c r="B793" s="3" t="str">
        <f>"秦绍梦"</f>
        <v>秦绍梦</v>
      </c>
      <c r="C793" s="3" t="str">
        <f>"男        "</f>
        <v xml:space="preserve">男        </v>
      </c>
      <c r="D793" s="3" t="str">
        <f>"德宏师范高等专科学校语文教育"</f>
        <v>德宏师范高等专科学校语文教育</v>
      </c>
      <c r="E793" s="3" t="s">
        <v>10</v>
      </c>
      <c r="F793" s="3" t="s">
        <v>4</v>
      </c>
      <c r="G793" s="3"/>
    </row>
    <row r="794" spans="1:7" x14ac:dyDescent="0.15">
      <c r="A794" s="2">
        <v>792</v>
      </c>
      <c r="B794" s="3" t="str">
        <f>"周里婷"</f>
        <v>周里婷</v>
      </c>
      <c r="C794" s="3" t="str">
        <f>"女        "</f>
        <v xml:space="preserve">女        </v>
      </c>
      <c r="D794" s="3" t="str">
        <f>"湖南中医药大学英语"</f>
        <v>湖南中医药大学英语</v>
      </c>
      <c r="E794" s="3" t="str">
        <f t="shared" ref="E794:E795" si="126">"本科"</f>
        <v>本科</v>
      </c>
      <c r="F794" s="3" t="s">
        <v>6</v>
      </c>
      <c r="G794" s="3"/>
    </row>
    <row r="795" spans="1:7" x14ac:dyDescent="0.15">
      <c r="A795" s="2">
        <v>793</v>
      </c>
      <c r="B795" s="3" t="str">
        <f>"黄福景"</f>
        <v>黄福景</v>
      </c>
      <c r="C795" s="3" t="str">
        <f>"男        "</f>
        <v xml:space="preserve">男        </v>
      </c>
      <c r="D795" s="3" t="str">
        <f>"广西师范大学漓江学院体育教育"</f>
        <v>广西师范大学漓江学院体育教育</v>
      </c>
      <c r="E795" s="3" t="str">
        <f t="shared" si="126"/>
        <v>本科</v>
      </c>
      <c r="F795" s="3" t="s">
        <v>7</v>
      </c>
      <c r="G795" s="3"/>
    </row>
    <row r="796" spans="1:7" x14ac:dyDescent="0.15">
      <c r="A796" s="3">
        <v>794</v>
      </c>
      <c r="B796" s="3" t="s">
        <v>11</v>
      </c>
      <c r="C796" s="3" t="s">
        <v>12</v>
      </c>
      <c r="D796" s="3" t="s">
        <v>13</v>
      </c>
      <c r="E796" s="3" t="s">
        <v>19</v>
      </c>
      <c r="F796" s="3" t="s">
        <v>4</v>
      </c>
      <c r="G796" s="3"/>
    </row>
    <row r="797" spans="1:7" x14ac:dyDescent="0.15">
      <c r="A797" s="3">
        <v>795</v>
      </c>
      <c r="B797" s="3" t="s">
        <v>14</v>
      </c>
      <c r="C797" s="3" t="s">
        <v>12</v>
      </c>
      <c r="D797" s="3" t="s">
        <v>15</v>
      </c>
      <c r="E797" s="3" t="s">
        <v>19</v>
      </c>
      <c r="F797" s="3" t="s">
        <v>5</v>
      </c>
      <c r="G797" s="3"/>
    </row>
    <row r="798" spans="1:7" x14ac:dyDescent="0.15">
      <c r="A798" s="3">
        <v>796</v>
      </c>
      <c r="B798" s="3" t="s">
        <v>16</v>
      </c>
      <c r="C798" s="3" t="s">
        <v>17</v>
      </c>
      <c r="D798" s="3" t="s">
        <v>18</v>
      </c>
      <c r="E798" s="3" t="s">
        <v>19</v>
      </c>
      <c r="F798" s="3" t="s">
        <v>5</v>
      </c>
      <c r="G798" s="3"/>
    </row>
  </sheetData>
  <autoFilter ref="A2:G2"/>
  <mergeCells count="1">
    <mergeCell ref="A1:G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china</cp:lastModifiedBy>
  <dcterms:created xsi:type="dcterms:W3CDTF">2018-06-26T05:17:39Z</dcterms:created>
  <dcterms:modified xsi:type="dcterms:W3CDTF">2018-06-28T00:31:46Z</dcterms:modified>
</cp:coreProperties>
</file>