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1435" windowHeight="11145"/>
  </bookViews>
  <sheets>
    <sheet name="笔试成绩" sheetId="1" r:id="rId1"/>
  </sheets>
  <definedNames>
    <definedName name="_xlnm._FilterDatabase" localSheetId="0" hidden="1">笔试成绩!$J$1:$J$1224</definedName>
    <definedName name="_xlnm.Print_Titles" localSheetId="0">笔试成绩!$2:$2</definedName>
  </definedNames>
  <calcPr calcId="125725"/>
</workbook>
</file>

<file path=xl/calcChain.xml><?xml version="1.0" encoding="utf-8"?>
<calcChain xmlns="http://schemas.openxmlformats.org/spreadsheetml/2006/main">
  <c r="I1160" i="1"/>
  <c r="F1160"/>
  <c r="E1160"/>
  <c r="D1160"/>
  <c r="C1160"/>
  <c r="I16"/>
  <c r="I73"/>
  <c r="I52"/>
  <c r="I23"/>
  <c r="I74"/>
  <c r="I22"/>
  <c r="I75"/>
  <c r="I76"/>
  <c r="I21"/>
  <c r="I70"/>
  <c r="I77"/>
  <c r="I35"/>
  <c r="I15"/>
  <c r="I78"/>
  <c r="I79"/>
  <c r="I53"/>
  <c r="I18"/>
  <c r="I12"/>
  <c r="I80"/>
  <c r="I25"/>
  <c r="I81"/>
  <c r="I7"/>
  <c r="I72"/>
  <c r="I63"/>
  <c r="I64"/>
  <c r="I10"/>
  <c r="I82"/>
  <c r="I57"/>
  <c r="I43"/>
  <c r="I34"/>
  <c r="I83"/>
  <c r="I84"/>
  <c r="I85"/>
  <c r="I86"/>
  <c r="I46"/>
  <c r="I54"/>
  <c r="I51"/>
  <c r="I87"/>
  <c r="I8"/>
  <c r="I88"/>
  <c r="I49"/>
  <c r="I37"/>
  <c r="I27"/>
  <c r="I50"/>
  <c r="I30"/>
  <c r="I33"/>
  <c r="I71"/>
  <c r="I89"/>
  <c r="I38"/>
  <c r="I62"/>
  <c r="I58"/>
  <c r="I61"/>
  <c r="I90"/>
  <c r="I11"/>
  <c r="I3"/>
  <c r="I91"/>
  <c r="I20"/>
  <c r="I92"/>
  <c r="I6"/>
  <c r="I93"/>
  <c r="I66"/>
  <c r="I4"/>
  <c r="I29"/>
  <c r="I94"/>
  <c r="I67"/>
  <c r="I17"/>
  <c r="I56"/>
  <c r="I31"/>
  <c r="I40"/>
  <c r="I24"/>
  <c r="I9"/>
  <c r="I14"/>
  <c r="I95"/>
  <c r="I59"/>
  <c r="I41"/>
  <c r="I47"/>
  <c r="I45"/>
  <c r="I36"/>
  <c r="I96"/>
  <c r="I5"/>
  <c r="I32"/>
  <c r="I60"/>
  <c r="I28"/>
  <c r="I39"/>
  <c r="I97"/>
  <c r="I19"/>
  <c r="I13"/>
  <c r="I98"/>
  <c r="I65"/>
  <c r="I137"/>
  <c r="I127"/>
  <c r="I144"/>
  <c r="I141"/>
  <c r="I128"/>
  <c r="I130"/>
  <c r="I145"/>
  <c r="I134"/>
  <c r="I146"/>
  <c r="I138"/>
  <c r="I147"/>
  <c r="I148"/>
  <c r="I132"/>
  <c r="I143"/>
  <c r="I135"/>
  <c r="I123"/>
  <c r="I129"/>
  <c r="I149"/>
  <c r="I125"/>
  <c r="I140"/>
  <c r="I139"/>
  <c r="I124"/>
  <c r="I133"/>
  <c r="I136"/>
  <c r="I131"/>
  <c r="I150"/>
  <c r="I126"/>
  <c r="I142"/>
  <c r="I879"/>
  <c r="I887"/>
  <c r="I189"/>
  <c r="I202"/>
  <c r="I203"/>
  <c r="I194"/>
  <c r="I188"/>
  <c r="I192"/>
  <c r="I200"/>
  <c r="I190"/>
  <c r="I196"/>
  <c r="I204"/>
  <c r="I187"/>
  <c r="I199"/>
  <c r="I198"/>
  <c r="I186"/>
  <c r="I197"/>
  <c r="I205"/>
  <c r="I193"/>
  <c r="I206"/>
  <c r="I207"/>
  <c r="I191"/>
  <c r="I201"/>
  <c r="I195"/>
  <c r="I486"/>
  <c r="I375"/>
  <c r="I334"/>
  <c r="I343"/>
  <c r="I524"/>
  <c r="I579"/>
  <c r="I512"/>
  <c r="I274"/>
  <c r="I668"/>
  <c r="I669"/>
  <c r="I670"/>
  <c r="I536"/>
  <c r="I467"/>
  <c r="I267"/>
  <c r="I551"/>
  <c r="I340"/>
  <c r="I671"/>
  <c r="I658"/>
  <c r="I418"/>
  <c r="I436"/>
  <c r="I518"/>
  <c r="I591"/>
  <c r="I530"/>
  <c r="I309"/>
  <c r="I663"/>
  <c r="I567"/>
  <c r="I672"/>
  <c r="I652"/>
  <c r="I240"/>
  <c r="I212"/>
  <c r="I616"/>
  <c r="I382"/>
  <c r="I457"/>
  <c r="I391"/>
  <c r="I615"/>
  <c r="I377"/>
  <c r="I619"/>
  <c r="I657"/>
  <c r="I609"/>
  <c r="I311"/>
  <c r="I406"/>
  <c r="I399"/>
  <c r="I466"/>
  <c r="I360"/>
  <c r="I651"/>
  <c r="I666"/>
  <c r="I422"/>
  <c r="I534"/>
  <c r="I508"/>
  <c r="I277"/>
  <c r="I634"/>
  <c r="I344"/>
  <c r="I364"/>
  <c r="I519"/>
  <c r="I462"/>
  <c r="I440"/>
  <c r="I253"/>
  <c r="I328"/>
  <c r="I577"/>
  <c r="I332"/>
  <c r="I673"/>
  <c r="I605"/>
  <c r="I527"/>
  <c r="I674"/>
  <c r="I429"/>
  <c r="I211"/>
  <c r="I543"/>
  <c r="I308"/>
  <c r="I313"/>
  <c r="I407"/>
  <c r="I675"/>
  <c r="I228"/>
  <c r="I449"/>
  <c r="I386"/>
  <c r="I492"/>
  <c r="I454"/>
  <c r="I256"/>
  <c r="I320"/>
  <c r="I238"/>
  <c r="I676"/>
  <c r="I392"/>
  <c r="I612"/>
  <c r="I469"/>
  <c r="I209"/>
  <c r="I443"/>
  <c r="I473"/>
  <c r="I572"/>
  <c r="I653"/>
  <c r="I596"/>
  <c r="I348"/>
  <c r="I264"/>
  <c r="I556"/>
  <c r="I234"/>
  <c r="I383"/>
  <c r="I433"/>
  <c r="I233"/>
  <c r="I400"/>
  <c r="I398"/>
  <c r="I305"/>
  <c r="I606"/>
  <c r="I584"/>
  <c r="I520"/>
  <c r="I322"/>
  <c r="I598"/>
  <c r="I350"/>
  <c r="I323"/>
  <c r="I336"/>
  <c r="I514"/>
  <c r="I555"/>
  <c r="I356"/>
  <c r="I314"/>
  <c r="I246"/>
  <c r="I337"/>
  <c r="I430"/>
  <c r="I470"/>
  <c r="I667"/>
  <c r="I565"/>
  <c r="I482"/>
  <c r="I665"/>
  <c r="I351"/>
  <c r="I607"/>
  <c r="I283"/>
  <c r="I589"/>
  <c r="I538"/>
  <c r="I656"/>
  <c r="I224"/>
  <c r="I580"/>
  <c r="I366"/>
  <c r="I611"/>
  <c r="I432"/>
  <c r="I271"/>
  <c r="I445"/>
  <c r="I568"/>
  <c r="I623"/>
  <c r="I213"/>
  <c r="I365"/>
  <c r="I352"/>
  <c r="I428"/>
  <c r="I321"/>
  <c r="I677"/>
  <c r="I247"/>
  <c r="I378"/>
  <c r="I654"/>
  <c r="I521"/>
  <c r="I411"/>
  <c r="I515"/>
  <c r="I489"/>
  <c r="I678"/>
  <c r="I640"/>
  <c r="I552"/>
  <c r="I369"/>
  <c r="I250"/>
  <c r="I641"/>
  <c r="I509"/>
  <c r="I425"/>
  <c r="I569"/>
  <c r="I219"/>
  <c r="I402"/>
  <c r="I258"/>
  <c r="I325"/>
  <c r="I601"/>
  <c r="I627"/>
  <c r="I357"/>
  <c r="I393"/>
  <c r="I387"/>
  <c r="I613"/>
  <c r="I367"/>
  <c r="I505"/>
  <c r="I664"/>
  <c r="I679"/>
  <c r="I210"/>
  <c r="I280"/>
  <c r="I559"/>
  <c r="I570"/>
  <c r="I564"/>
  <c r="I282"/>
  <c r="I483"/>
  <c r="I528"/>
  <c r="I608"/>
  <c r="I255"/>
  <c r="I680"/>
  <c r="I493"/>
  <c r="I550"/>
  <c r="I642"/>
  <c r="I319"/>
  <c r="I624"/>
  <c r="I404"/>
  <c r="I476"/>
  <c r="I370"/>
  <c r="I602"/>
  <c r="I655"/>
  <c r="I381"/>
  <c r="I525"/>
  <c r="I296"/>
  <c r="I681"/>
  <c r="I682"/>
  <c r="I683"/>
  <c r="I395"/>
  <c r="I414"/>
  <c r="I315"/>
  <c r="I415"/>
  <c r="I354"/>
  <c r="I353"/>
  <c r="I447"/>
  <c r="I362"/>
  <c r="I533"/>
  <c r="I644"/>
  <c r="I643"/>
  <c r="I684"/>
  <c r="I549"/>
  <c r="I629"/>
  <c r="I586"/>
  <c r="I346"/>
  <c r="I638"/>
  <c r="I590"/>
  <c r="I541"/>
  <c r="I491"/>
  <c r="I639"/>
  <c r="I451"/>
  <c r="I685"/>
  <c r="I461"/>
  <c r="I396"/>
  <c r="I566"/>
  <c r="I389"/>
  <c r="I465"/>
  <c r="I284"/>
  <c r="I475"/>
  <c r="I456"/>
  <c r="I226"/>
  <c r="I628"/>
  <c r="I455"/>
  <c r="I468"/>
  <c r="I403"/>
  <c r="I290"/>
  <c r="I573"/>
  <c r="I452"/>
  <c r="I294"/>
  <c r="I625"/>
  <c r="I330"/>
  <c r="I358"/>
  <c r="I537"/>
  <c r="I434"/>
  <c r="I494"/>
  <c r="I529"/>
  <c r="I453"/>
  <c r="I302"/>
  <c r="I419"/>
  <c r="I248"/>
  <c r="I539"/>
  <c r="I686"/>
  <c r="I513"/>
  <c r="I560"/>
  <c r="I502"/>
  <c r="I610"/>
  <c r="I554"/>
  <c r="I571"/>
  <c r="I687"/>
  <c r="I603"/>
  <c r="I349"/>
  <c r="I575"/>
  <c r="I463"/>
  <c r="I547"/>
  <c r="I500"/>
  <c r="I636"/>
  <c r="I359"/>
  <c r="I649"/>
  <c r="I501"/>
  <c r="I329"/>
  <c r="I578"/>
  <c r="I688"/>
  <c r="I618"/>
  <c r="I563"/>
  <c r="I231"/>
  <c r="I582"/>
  <c r="I503"/>
  <c r="I379"/>
  <c r="I689"/>
  <c r="I648"/>
  <c r="I587"/>
  <c r="I223"/>
  <c r="I252"/>
  <c r="I327"/>
  <c r="I279"/>
  <c r="I347"/>
  <c r="I413"/>
  <c r="I272"/>
  <c r="I480"/>
  <c r="I373"/>
  <c r="I496"/>
  <c r="I690"/>
  <c r="I339"/>
  <c r="I301"/>
  <c r="I691"/>
  <c r="I218"/>
  <c r="I553"/>
  <c r="I288"/>
  <c r="I287"/>
  <c r="I626"/>
  <c r="I558"/>
  <c r="I437"/>
  <c r="I417"/>
  <c r="I522"/>
  <c r="I535"/>
  <c r="I342"/>
  <c r="I237"/>
  <c r="I595"/>
  <c r="I230"/>
  <c r="I499"/>
  <c r="I592"/>
  <c r="I426"/>
  <c r="I472"/>
  <c r="I471"/>
  <c r="I374"/>
  <c r="I574"/>
  <c r="I208"/>
  <c r="I632"/>
  <c r="I420"/>
  <c r="I333"/>
  <c r="I299"/>
  <c r="I464"/>
  <c r="I557"/>
  <c r="I249"/>
  <c r="I281"/>
  <c r="I545"/>
  <c r="I285"/>
  <c r="I562"/>
  <c r="I303"/>
  <c r="I544"/>
  <c r="I260"/>
  <c r="I220"/>
  <c r="I421"/>
  <c r="I293"/>
  <c r="I275"/>
  <c r="I506"/>
  <c r="I692"/>
  <c r="I363"/>
  <c r="I588"/>
  <c r="I597"/>
  <c r="I516"/>
  <c r="I431"/>
  <c r="I276"/>
  <c r="I251"/>
  <c r="I477"/>
  <c r="I485"/>
  <c r="I647"/>
  <c r="I621"/>
  <c r="I635"/>
  <c r="I581"/>
  <c r="I662"/>
  <c r="I659"/>
  <c r="I297"/>
  <c r="I361"/>
  <c r="I532"/>
  <c r="I478"/>
  <c r="I217"/>
  <c r="I531"/>
  <c r="I585"/>
  <c r="I242"/>
  <c r="I338"/>
  <c r="I450"/>
  <c r="I318"/>
  <c r="I497"/>
  <c r="I614"/>
  <c r="I427"/>
  <c r="I225"/>
  <c r="I576"/>
  <c r="I324"/>
  <c r="I542"/>
  <c r="I239"/>
  <c r="I312"/>
  <c r="I504"/>
  <c r="I446"/>
  <c r="I291"/>
  <c r="I235"/>
  <c r="I331"/>
  <c r="I600"/>
  <c r="I460"/>
  <c r="I295"/>
  <c r="I490"/>
  <c r="I593"/>
  <c r="I229"/>
  <c r="I620"/>
  <c r="I241"/>
  <c r="I371"/>
  <c r="I298"/>
  <c r="I423"/>
  <c r="I409"/>
  <c r="I540"/>
  <c r="I650"/>
  <c r="I583"/>
  <c r="I262"/>
  <c r="I630"/>
  <c r="I265"/>
  <c r="I268"/>
  <c r="I660"/>
  <c r="I273"/>
  <c r="I222"/>
  <c r="I526"/>
  <c r="I316"/>
  <c r="I236"/>
  <c r="I215"/>
  <c r="I355"/>
  <c r="I474"/>
  <c r="I622"/>
  <c r="I292"/>
  <c r="I561"/>
  <c r="I487"/>
  <c r="I388"/>
  <c r="I481"/>
  <c r="I693"/>
  <c r="I604"/>
  <c r="I637"/>
  <c r="I306"/>
  <c r="I244"/>
  <c r="I523"/>
  <c r="I495"/>
  <c r="I317"/>
  <c r="I269"/>
  <c r="I546"/>
  <c r="I435"/>
  <c r="I286"/>
  <c r="I412"/>
  <c r="I345"/>
  <c r="I694"/>
  <c r="I270"/>
  <c r="I517"/>
  <c r="I695"/>
  <c r="I661"/>
  <c r="I410"/>
  <c r="I696"/>
  <c r="I376"/>
  <c r="I263"/>
  <c r="I384"/>
  <c r="I304"/>
  <c r="I458"/>
  <c r="I368"/>
  <c r="I216"/>
  <c r="I441"/>
  <c r="I510"/>
  <c r="I697"/>
  <c r="I326"/>
  <c r="I631"/>
  <c r="I408"/>
  <c r="I479"/>
  <c r="I243"/>
  <c r="I335"/>
  <c r="I278"/>
  <c r="I438"/>
  <c r="I390"/>
  <c r="I444"/>
  <c r="I439"/>
  <c r="I484"/>
  <c r="I633"/>
  <c r="I698"/>
  <c r="I232"/>
  <c r="I341"/>
  <c r="I699"/>
  <c r="I488"/>
  <c r="I498"/>
  <c r="I221"/>
  <c r="I507"/>
  <c r="I645"/>
  <c r="I397"/>
  <c r="I401"/>
  <c r="I405"/>
  <c r="I214"/>
  <c r="I394"/>
  <c r="I300"/>
  <c r="I310"/>
  <c r="I700"/>
  <c r="I380"/>
  <c r="I701"/>
  <c r="I227"/>
  <c r="I594"/>
  <c r="I266"/>
  <c r="I702"/>
  <c r="I599"/>
  <c r="I617"/>
  <c r="I307"/>
  <c r="I245"/>
  <c r="I511"/>
  <c r="I448"/>
  <c r="I424"/>
  <c r="I442"/>
  <c r="I257"/>
  <c r="I703"/>
  <c r="I704"/>
  <c r="I705"/>
  <c r="I385"/>
  <c r="I459"/>
  <c r="I416"/>
  <c r="I259"/>
  <c r="I289"/>
  <c r="I261"/>
  <c r="I254"/>
  <c r="I646"/>
  <c r="I372"/>
  <c r="I548"/>
  <c r="I706"/>
  <c r="I725"/>
  <c r="I731"/>
  <c r="I726"/>
  <c r="I713"/>
  <c r="I743"/>
  <c r="I720"/>
  <c r="I742"/>
  <c r="I730"/>
  <c r="I716"/>
  <c r="I734"/>
  <c r="I737"/>
  <c r="I744"/>
  <c r="I745"/>
  <c r="I711"/>
  <c r="I714"/>
  <c r="I717"/>
  <c r="I746"/>
  <c r="I718"/>
  <c r="I733"/>
  <c r="I707"/>
  <c r="I732"/>
  <c r="I741"/>
  <c r="I739"/>
  <c r="I712"/>
  <c r="I709"/>
  <c r="I747"/>
  <c r="I721"/>
  <c r="I727"/>
  <c r="I708"/>
  <c r="I736"/>
  <c r="I738"/>
  <c r="I748"/>
  <c r="I728"/>
  <c r="I749"/>
  <c r="I715"/>
  <c r="I724"/>
  <c r="I729"/>
  <c r="I722"/>
  <c r="I750"/>
  <c r="I740"/>
  <c r="I751"/>
  <c r="I752"/>
  <c r="I735"/>
  <c r="I710"/>
  <c r="I719"/>
  <c r="I723"/>
  <c r="I1161"/>
  <c r="I1062"/>
  <c r="I1147"/>
  <c r="I972"/>
  <c r="I1061"/>
  <c r="I1099"/>
  <c r="I1131"/>
  <c r="I1034"/>
  <c r="I1162"/>
  <c r="I979"/>
  <c r="I1018"/>
  <c r="I1046"/>
  <c r="I1007"/>
  <c r="I1117"/>
  <c r="I921"/>
  <c r="I1128"/>
  <c r="I949"/>
  <c r="I953"/>
  <c r="I908"/>
  <c r="I1004"/>
  <c r="I1085"/>
  <c r="I1052"/>
  <c r="I996"/>
  <c r="I974"/>
  <c r="I970"/>
  <c r="I1124"/>
  <c r="I1044"/>
  <c r="I947"/>
  <c r="I1133"/>
  <c r="I1000"/>
  <c r="I1163"/>
  <c r="I909"/>
  <c r="I1001"/>
  <c r="I1123"/>
  <c r="I1008"/>
  <c r="I1053"/>
  <c r="I978"/>
  <c r="I1041"/>
  <c r="I1164"/>
  <c r="I907"/>
  <c r="I956"/>
  <c r="I1165"/>
  <c r="I927"/>
  <c r="I1094"/>
  <c r="I967"/>
  <c r="I918"/>
  <c r="I1104"/>
  <c r="I998"/>
  <c r="I1006"/>
  <c r="I914"/>
  <c r="I1108"/>
  <c r="I916"/>
  <c r="I981"/>
  <c r="I915"/>
  <c r="I948"/>
  <c r="I1166"/>
  <c r="I1005"/>
  <c r="I951"/>
  <c r="I1135"/>
  <c r="I1167"/>
  <c r="I932"/>
  <c r="I1036"/>
  <c r="I911"/>
  <c r="I1065"/>
  <c r="I1021"/>
  <c r="I1168"/>
  <c r="I1063"/>
  <c r="I924"/>
  <c r="I955"/>
  <c r="I919"/>
  <c r="I1042"/>
  <c r="I989"/>
  <c r="I962"/>
  <c r="I906"/>
  <c r="I937"/>
  <c r="I957"/>
  <c r="I963"/>
  <c r="I1039"/>
  <c r="I1002"/>
  <c r="I1169"/>
  <c r="I902"/>
  <c r="I1040"/>
  <c r="I1101"/>
  <c r="I1025"/>
  <c r="I904"/>
  <c r="I1038"/>
  <c r="I1030"/>
  <c r="I1019"/>
  <c r="I973"/>
  <c r="I945"/>
  <c r="I1088"/>
  <c r="I1157"/>
  <c r="I971"/>
  <c r="I1026"/>
  <c r="I1070"/>
  <c r="I1097"/>
  <c r="I1170"/>
  <c r="I980"/>
  <c r="I1082"/>
  <c r="I976"/>
  <c r="I939"/>
  <c r="I1095"/>
  <c r="I1071"/>
  <c r="I1129"/>
  <c r="I1171"/>
  <c r="I1116"/>
  <c r="I959"/>
  <c r="I1139"/>
  <c r="I992"/>
  <c r="I1015"/>
  <c r="I1066"/>
  <c r="I1072"/>
  <c r="I1172"/>
  <c r="I997"/>
  <c r="I943"/>
  <c r="I1113"/>
  <c r="I1127"/>
  <c r="I985"/>
  <c r="I1118"/>
  <c r="I1023"/>
  <c r="I1136"/>
  <c r="I912"/>
  <c r="I1049"/>
  <c r="I952"/>
  <c r="I1121"/>
  <c r="I966"/>
  <c r="I920"/>
  <c r="I1115"/>
  <c r="I910"/>
  <c r="I1010"/>
  <c r="I940"/>
  <c r="I1013"/>
  <c r="I1100"/>
  <c r="I1158"/>
  <c r="I1054"/>
  <c r="I1022"/>
  <c r="I1150"/>
  <c r="I1125"/>
  <c r="I969"/>
  <c r="I1045"/>
  <c r="I1068"/>
  <c r="I960"/>
  <c r="I1148"/>
  <c r="I990"/>
  <c r="I1145"/>
  <c r="I1103"/>
  <c r="I1173"/>
  <c r="I1119"/>
  <c r="I1151"/>
  <c r="I1051"/>
  <c r="I1153"/>
  <c r="I1174"/>
  <c r="I1154"/>
  <c r="I993"/>
  <c r="I936"/>
  <c r="I1126"/>
  <c r="I1175"/>
  <c r="I1079"/>
  <c r="I1067"/>
  <c r="I986"/>
  <c r="I913"/>
  <c r="I1035"/>
  <c r="I1090"/>
  <c r="I1130"/>
  <c r="I1027"/>
  <c r="I1107"/>
  <c r="I1176"/>
  <c r="I935"/>
  <c r="I1102"/>
  <c r="I1177"/>
  <c r="I1155"/>
  <c r="I917"/>
  <c r="I1178"/>
  <c r="I1075"/>
  <c r="I926"/>
  <c r="I1122"/>
  <c r="I903"/>
  <c r="I1056"/>
  <c r="I983"/>
  <c r="I1084"/>
  <c r="I1028"/>
  <c r="I933"/>
  <c r="I1078"/>
  <c r="I1032"/>
  <c r="I975"/>
  <c r="I1179"/>
  <c r="I1120"/>
  <c r="I964"/>
  <c r="I1180"/>
  <c r="I1098"/>
  <c r="I1047"/>
  <c r="I1159"/>
  <c r="I1020"/>
  <c r="I1089"/>
  <c r="I1132"/>
  <c r="I905"/>
  <c r="I1017"/>
  <c r="I1105"/>
  <c r="I1092"/>
  <c r="I928"/>
  <c r="I1031"/>
  <c r="I1181"/>
  <c r="I961"/>
  <c r="I1093"/>
  <c r="I1110"/>
  <c r="I1074"/>
  <c r="I1083"/>
  <c r="I929"/>
  <c r="I1011"/>
  <c r="I988"/>
  <c r="I1064"/>
  <c r="I1182"/>
  <c r="I925"/>
  <c r="I1029"/>
  <c r="I1080"/>
  <c r="I1043"/>
  <c r="I1111"/>
  <c r="I1050"/>
  <c r="I1014"/>
  <c r="I999"/>
  <c r="I1142"/>
  <c r="I1033"/>
  <c r="I987"/>
  <c r="I1134"/>
  <c r="I946"/>
  <c r="I950"/>
  <c r="I958"/>
  <c r="I982"/>
  <c r="I1077"/>
  <c r="I923"/>
  <c r="I1048"/>
  <c r="I922"/>
  <c r="I1183"/>
  <c r="I942"/>
  <c r="I934"/>
  <c r="I1009"/>
  <c r="I938"/>
  <c r="I954"/>
  <c r="I1003"/>
  <c r="I1073"/>
  <c r="I1076"/>
  <c r="I1058"/>
  <c r="I1149"/>
  <c r="I1137"/>
  <c r="I995"/>
  <c r="I965"/>
  <c r="I931"/>
  <c r="I1016"/>
  <c r="I1156"/>
  <c r="I1059"/>
  <c r="I1138"/>
  <c r="I1109"/>
  <c r="I1143"/>
  <c r="I1037"/>
  <c r="I1086"/>
  <c r="I1106"/>
  <c r="I984"/>
  <c r="I1057"/>
  <c r="I1184"/>
  <c r="I930"/>
  <c r="I1112"/>
  <c r="I1081"/>
  <c r="I1152"/>
  <c r="I968"/>
  <c r="I991"/>
  <c r="I977"/>
  <c r="I1024"/>
  <c r="I994"/>
  <c r="I944"/>
  <c r="I1055"/>
  <c r="I941"/>
  <c r="I1140"/>
  <c r="I823"/>
  <c r="I788"/>
  <c r="I820"/>
  <c r="I824"/>
  <c r="I814"/>
  <c r="I790"/>
  <c r="I807"/>
  <c r="I782"/>
  <c r="I793"/>
  <c r="I794"/>
  <c r="I755"/>
  <c r="I801"/>
  <c r="I769"/>
  <c r="I825"/>
  <c r="I776"/>
  <c r="I767"/>
  <c r="I791"/>
  <c r="I773"/>
  <c r="I804"/>
  <c r="I753"/>
  <c r="I799"/>
  <c r="I779"/>
  <c r="I783"/>
  <c r="I789"/>
  <c r="I811"/>
  <c r="I803"/>
  <c r="I756"/>
  <c r="I798"/>
  <c r="I765"/>
  <c r="I818"/>
  <c r="I784"/>
  <c r="I802"/>
  <c r="I792"/>
  <c r="I796"/>
  <c r="I826"/>
  <c r="I786"/>
  <c r="I763"/>
  <c r="I827"/>
  <c r="I806"/>
  <c r="I810"/>
  <c r="I770"/>
  <c r="I797"/>
  <c r="I760"/>
  <c r="I822"/>
  <c r="I821"/>
  <c r="I777"/>
  <c r="I772"/>
  <c r="I813"/>
  <c r="I828"/>
  <c r="I771"/>
  <c r="I829"/>
  <c r="I781"/>
  <c r="I815"/>
  <c r="I808"/>
  <c r="I800"/>
  <c r="I764"/>
  <c r="I785"/>
  <c r="I819"/>
  <c r="I830"/>
  <c r="I831"/>
  <c r="I809"/>
  <c r="I812"/>
  <c r="I762"/>
  <c r="I758"/>
  <c r="I805"/>
  <c r="I774"/>
  <c r="I832"/>
  <c r="I795"/>
  <c r="I775"/>
  <c r="I816"/>
  <c r="I768"/>
  <c r="I761"/>
  <c r="I754"/>
  <c r="I787"/>
  <c r="I757"/>
  <c r="I759"/>
  <c r="I778"/>
  <c r="I817"/>
  <c r="I766"/>
  <c r="I780"/>
  <c r="I1191"/>
  <c r="I1202"/>
  <c r="I1207"/>
  <c r="I1208"/>
  <c r="I1204"/>
  <c r="I1195"/>
  <c r="I1214"/>
  <c r="I1210"/>
  <c r="I1213"/>
  <c r="I1211"/>
  <c r="I68"/>
  <c r="I55"/>
  <c r="I48"/>
  <c r="I42"/>
  <c r="I69"/>
  <c r="I26"/>
  <c r="I99"/>
  <c r="I104"/>
  <c r="I101"/>
  <c r="I103"/>
  <c r="I100"/>
  <c r="I102"/>
  <c r="I867"/>
  <c r="I862"/>
  <c r="I866"/>
  <c r="I865"/>
  <c r="I863"/>
  <c r="I864"/>
  <c r="I108"/>
  <c r="I107"/>
  <c r="I109"/>
  <c r="I106"/>
  <c r="I110"/>
  <c r="I105"/>
  <c r="I870"/>
  <c r="I868"/>
  <c r="I871"/>
  <c r="I872"/>
  <c r="I869"/>
  <c r="I873"/>
  <c r="I116"/>
  <c r="I112"/>
  <c r="I114"/>
  <c r="I117"/>
  <c r="I113"/>
  <c r="I115"/>
  <c r="I118"/>
  <c r="I111"/>
  <c r="I876"/>
  <c r="I875"/>
  <c r="I877"/>
  <c r="I874"/>
  <c r="I180"/>
  <c r="I175"/>
  <c r="I177"/>
  <c r="I167"/>
  <c r="I178"/>
  <c r="I165"/>
  <c r="I168"/>
  <c r="I181"/>
  <c r="I171"/>
  <c r="I174"/>
  <c r="I179"/>
  <c r="I182"/>
  <c r="I173"/>
  <c r="I172"/>
  <c r="I169"/>
  <c r="I176"/>
  <c r="I166"/>
  <c r="I170"/>
  <c r="I153"/>
  <c r="I152"/>
  <c r="I154"/>
  <c r="I155"/>
  <c r="I156"/>
  <c r="I157"/>
  <c r="I151"/>
  <c r="I158"/>
  <c r="I159"/>
  <c r="I164"/>
  <c r="I160"/>
  <c r="I162"/>
  <c r="I161"/>
  <c r="I163"/>
  <c r="I1069"/>
  <c r="I1087"/>
  <c r="I1060"/>
  <c r="I1096"/>
  <c r="I1141"/>
  <c r="I1146"/>
  <c r="I1114"/>
  <c r="I1012"/>
  <c r="I1091"/>
  <c r="I1144"/>
  <c r="I1189"/>
  <c r="I1186"/>
  <c r="I1185"/>
  <c r="I1187"/>
  <c r="I1190"/>
  <c r="I1188"/>
  <c r="I119"/>
  <c r="I121"/>
  <c r="I122"/>
  <c r="I120"/>
  <c r="I885"/>
  <c r="I883"/>
  <c r="I882"/>
  <c r="I881"/>
  <c r="I880"/>
  <c r="I888"/>
  <c r="I884"/>
  <c r="I889"/>
  <c r="I878"/>
  <c r="I886"/>
  <c r="I184"/>
  <c r="I185"/>
  <c r="I183"/>
  <c r="I898"/>
  <c r="I899"/>
  <c r="I900"/>
  <c r="I896"/>
  <c r="I901"/>
  <c r="I895"/>
  <c r="I893"/>
  <c r="I897"/>
  <c r="I894"/>
  <c r="I892"/>
  <c r="I891"/>
  <c r="I890"/>
  <c r="I1194"/>
  <c r="I1193"/>
  <c r="I1192"/>
  <c r="I1217"/>
  <c r="I1196"/>
  <c r="I1198"/>
  <c r="I1206"/>
  <c r="I1216"/>
  <c r="I1205"/>
  <c r="I1197"/>
  <c r="I1209"/>
  <c r="I1215"/>
  <c r="I1199"/>
  <c r="I1201"/>
  <c r="I1200"/>
  <c r="I1203"/>
  <c r="I1212"/>
  <c r="I834"/>
  <c r="I835"/>
  <c r="I833"/>
  <c r="I839"/>
  <c r="I838"/>
  <c r="I836"/>
  <c r="I837"/>
  <c r="I1219"/>
  <c r="I1218"/>
  <c r="I1220"/>
  <c r="I1222"/>
  <c r="I1221"/>
  <c r="I1223"/>
  <c r="I842"/>
  <c r="I843"/>
  <c r="I841"/>
  <c r="I840"/>
  <c r="I844"/>
  <c r="I846"/>
  <c r="I845"/>
  <c r="I851"/>
  <c r="I848"/>
  <c r="I852"/>
  <c r="I853"/>
  <c r="I854"/>
  <c r="I849"/>
  <c r="I847"/>
  <c r="I850"/>
  <c r="I859"/>
  <c r="I860"/>
  <c r="I856"/>
  <c r="I857"/>
  <c r="I858"/>
  <c r="I861"/>
  <c r="I855"/>
  <c r="I44"/>
  <c r="A658" l="1"/>
  <c r="C658"/>
  <c r="D658"/>
  <c r="E658"/>
  <c r="F658"/>
  <c r="A339"/>
  <c r="C339"/>
  <c r="D339"/>
  <c r="E339"/>
  <c r="F339"/>
  <c r="A883"/>
  <c r="C883"/>
  <c r="D883"/>
  <c r="E883"/>
  <c r="F883"/>
  <c r="A685"/>
  <c r="C685"/>
  <c r="D685"/>
  <c r="E685"/>
  <c r="F685"/>
  <c r="A288"/>
  <c r="C288"/>
  <c r="D288"/>
  <c r="E288"/>
  <c r="F288"/>
  <c r="A469"/>
  <c r="C469"/>
  <c r="D469"/>
  <c r="E469"/>
  <c r="F469"/>
  <c r="A494"/>
  <c r="C494"/>
  <c r="D494"/>
  <c r="E494"/>
  <c r="F494"/>
  <c r="A556"/>
  <c r="C556"/>
  <c r="D556"/>
  <c r="E556"/>
  <c r="F556"/>
  <c r="A589"/>
  <c r="C589"/>
  <c r="D589"/>
  <c r="E589"/>
  <c r="F589"/>
  <c r="A644"/>
  <c r="C644"/>
  <c r="D644"/>
  <c r="E644"/>
  <c r="F644"/>
  <c r="A735"/>
  <c r="C735"/>
  <c r="D735"/>
  <c r="E735"/>
  <c r="F735"/>
  <c r="A503"/>
  <c r="C503"/>
  <c r="D503"/>
  <c r="E503"/>
  <c r="F503"/>
  <c r="A536"/>
  <c r="C536"/>
  <c r="D536"/>
  <c r="E536"/>
  <c r="F536"/>
  <c r="A899"/>
  <c r="C899"/>
  <c r="D899"/>
  <c r="E899"/>
  <c r="F899"/>
  <c r="A1185"/>
  <c r="C1185"/>
  <c r="D1185"/>
  <c r="E1185"/>
  <c r="F1185"/>
  <c r="A543"/>
  <c r="C543"/>
  <c r="D543"/>
  <c r="E543"/>
  <c r="F543"/>
  <c r="A586"/>
  <c r="C586"/>
  <c r="D586"/>
  <c r="E586"/>
  <c r="F586"/>
  <c r="A136"/>
  <c r="C136"/>
  <c r="D136"/>
  <c r="E136"/>
  <c r="F136"/>
  <c r="A393"/>
  <c r="C393"/>
  <c r="D393"/>
  <c r="E393"/>
  <c r="F393"/>
  <c r="A1139"/>
  <c r="C1139"/>
  <c r="D1139"/>
  <c r="E1139"/>
  <c r="F1139"/>
  <c r="A614"/>
  <c r="C614"/>
  <c r="D614"/>
  <c r="E614"/>
  <c r="F614"/>
  <c r="A32"/>
  <c r="C32"/>
  <c r="D32"/>
  <c r="E32"/>
  <c r="F32"/>
  <c r="A592"/>
  <c r="C592"/>
  <c r="D592"/>
  <c r="E592"/>
  <c r="F592"/>
  <c r="A794"/>
  <c r="C794"/>
  <c r="D794"/>
  <c r="E794"/>
  <c r="F794"/>
  <c r="A85"/>
  <c r="C85"/>
  <c r="D85"/>
  <c r="E85"/>
  <c r="F85"/>
  <c r="A66"/>
  <c r="C66"/>
  <c r="D66"/>
  <c r="E66"/>
  <c r="F66"/>
  <c r="A10"/>
  <c r="C10"/>
  <c r="D10"/>
  <c r="E10"/>
  <c r="F10"/>
  <c r="A875"/>
  <c r="C875"/>
  <c r="D875"/>
  <c r="E875"/>
  <c r="F875"/>
  <c r="A849"/>
  <c r="C849"/>
  <c r="D849"/>
  <c r="E849"/>
  <c r="F849"/>
  <c r="A167"/>
  <c r="C167"/>
  <c r="D167"/>
  <c r="E167"/>
  <c r="F167"/>
  <c r="A1132"/>
  <c r="C1132"/>
  <c r="D1132"/>
  <c r="E1132"/>
  <c r="F1132"/>
  <c r="A212"/>
  <c r="C212"/>
  <c r="D212"/>
  <c r="E212"/>
  <c r="F212"/>
  <c r="A909"/>
  <c r="C909"/>
  <c r="D909"/>
  <c r="E909"/>
  <c r="F909"/>
  <c r="A1075"/>
  <c r="C1075"/>
  <c r="D1075"/>
  <c r="E1075"/>
  <c r="F1075"/>
  <c r="A516"/>
  <c r="C516"/>
  <c r="D516"/>
  <c r="E516"/>
  <c r="F516"/>
  <c r="A554"/>
  <c r="C554"/>
  <c r="D554"/>
  <c r="E554"/>
  <c r="F554"/>
  <c r="A966"/>
  <c r="C966"/>
  <c r="D966"/>
  <c r="E966"/>
  <c r="F966"/>
  <c r="A25"/>
  <c r="C25"/>
  <c r="D25"/>
  <c r="E25"/>
  <c r="F25"/>
  <c r="A182"/>
  <c r="C182"/>
  <c r="D182"/>
  <c r="E182"/>
  <c r="F182"/>
  <c r="A1031"/>
  <c r="C1031"/>
  <c r="D1031"/>
  <c r="E1031"/>
  <c r="F1031"/>
  <c r="A551"/>
  <c r="C551"/>
  <c r="D551"/>
  <c r="E551"/>
  <c r="F551"/>
  <c r="A441"/>
  <c r="C441"/>
  <c r="D441"/>
  <c r="E441"/>
  <c r="F441"/>
  <c r="A807"/>
  <c r="C807"/>
  <c r="D807"/>
  <c r="E807"/>
  <c r="F807"/>
  <c r="A512"/>
  <c r="C512"/>
  <c r="D512"/>
  <c r="E512"/>
  <c r="F512"/>
  <c r="A545"/>
  <c r="C545"/>
  <c r="D545"/>
  <c r="E545"/>
  <c r="F545"/>
  <c r="A246"/>
  <c r="C246"/>
  <c r="D246"/>
  <c r="E246"/>
  <c r="F246"/>
  <c r="A176"/>
  <c r="C176"/>
  <c r="D176"/>
  <c r="E176"/>
  <c r="F176"/>
  <c r="A371"/>
  <c r="C371"/>
  <c r="D371"/>
  <c r="E371"/>
  <c r="F371"/>
  <c r="A443"/>
  <c r="C443"/>
  <c r="D443"/>
  <c r="E443"/>
  <c r="F443"/>
  <c r="A762"/>
  <c r="C762"/>
  <c r="D762"/>
  <c r="E762"/>
  <c r="F762"/>
  <c r="A1100"/>
  <c r="C1100"/>
  <c r="D1100"/>
  <c r="E1100"/>
  <c r="F1100"/>
  <c r="A508"/>
  <c r="C508"/>
  <c r="D508"/>
  <c r="E508"/>
  <c r="F508"/>
  <c r="A667"/>
  <c r="C667"/>
  <c r="D667"/>
  <c r="E667"/>
  <c r="F667"/>
  <c r="A524"/>
  <c r="C524"/>
  <c r="D524"/>
  <c r="E524"/>
  <c r="F524"/>
  <c r="A992"/>
  <c r="C992"/>
  <c r="D992"/>
  <c r="E992"/>
  <c r="F992"/>
  <c r="A287"/>
  <c r="C287"/>
  <c r="D287"/>
  <c r="E287"/>
  <c r="F287"/>
  <c r="A854"/>
  <c r="C854"/>
  <c r="D854"/>
  <c r="E854"/>
  <c r="F854"/>
  <c r="A319"/>
  <c r="C319"/>
  <c r="D319"/>
  <c r="E319"/>
  <c r="F319"/>
  <c r="A1108"/>
  <c r="C1108"/>
  <c r="D1108"/>
  <c r="E1108"/>
  <c r="F1108"/>
  <c r="A501"/>
  <c r="C501"/>
  <c r="D501"/>
  <c r="E501"/>
  <c r="F501"/>
  <c r="A1194"/>
  <c r="C1194"/>
  <c r="D1194"/>
  <c r="E1194"/>
  <c r="F1194"/>
  <c r="A364"/>
  <c r="C364"/>
  <c r="D364"/>
  <c r="E364"/>
  <c r="F364"/>
  <c r="A3"/>
  <c r="C3"/>
  <c r="D3"/>
  <c r="E3"/>
  <c r="F3"/>
  <c r="A956"/>
  <c r="C956"/>
  <c r="D956"/>
  <c r="E956"/>
  <c r="F956"/>
  <c r="A424"/>
  <c r="C424"/>
  <c r="D424"/>
  <c r="E424"/>
  <c r="F424"/>
  <c r="A920"/>
  <c r="C920"/>
  <c r="D920"/>
  <c r="E920"/>
  <c r="F920"/>
  <c r="A715"/>
  <c r="C715"/>
  <c r="D715"/>
  <c r="E715"/>
  <c r="F715"/>
  <c r="A261"/>
  <c r="C261"/>
  <c r="D261"/>
  <c r="E261"/>
  <c r="F261"/>
  <c r="A506"/>
  <c r="C506"/>
  <c r="D506"/>
  <c r="E506"/>
  <c r="F506"/>
  <c r="A829"/>
  <c r="C829"/>
  <c r="D829"/>
  <c r="E829"/>
  <c r="F829"/>
  <c r="A544"/>
  <c r="C544"/>
  <c r="D544"/>
  <c r="E544"/>
  <c r="F544"/>
  <c r="A703"/>
  <c r="C703"/>
  <c r="D703"/>
  <c r="E703"/>
  <c r="F703"/>
  <c r="A513"/>
  <c r="C513"/>
  <c r="D513"/>
  <c r="E513"/>
  <c r="F513"/>
  <c r="A431"/>
  <c r="C431"/>
  <c r="D431"/>
  <c r="E431"/>
  <c r="F431"/>
  <c r="A561"/>
  <c r="C561"/>
  <c r="D561"/>
  <c r="E561"/>
  <c r="F561"/>
  <c r="A214"/>
  <c r="C214"/>
  <c r="D214"/>
  <c r="E214"/>
  <c r="F214"/>
  <c r="A1063"/>
  <c r="C1063"/>
  <c r="D1063"/>
  <c r="E1063"/>
  <c r="F1063"/>
  <c r="A527"/>
  <c r="C527"/>
  <c r="D527"/>
  <c r="E527"/>
  <c r="F527"/>
  <c r="A901"/>
  <c r="C901"/>
  <c r="D901"/>
  <c r="E901"/>
  <c r="F901"/>
  <c r="A787"/>
  <c r="C787"/>
  <c r="D787"/>
  <c r="E787"/>
  <c r="F787"/>
  <c r="A809"/>
  <c r="C809"/>
  <c r="D809"/>
  <c r="E809"/>
  <c r="F809"/>
  <c r="A248"/>
  <c r="C248"/>
  <c r="D248"/>
  <c r="E248"/>
  <c r="F248"/>
  <c r="A866"/>
  <c r="C866"/>
  <c r="D866"/>
  <c r="E866"/>
  <c r="F866"/>
  <c r="A130"/>
  <c r="C130"/>
  <c r="D130"/>
  <c r="E130"/>
  <c r="F130"/>
  <c r="A824"/>
  <c r="C824"/>
  <c r="D824"/>
  <c r="E824"/>
  <c r="F824"/>
  <c r="A537"/>
  <c r="C537"/>
  <c r="D537"/>
  <c r="E537"/>
  <c r="F537"/>
  <c r="A1204"/>
  <c r="C1204"/>
  <c r="D1204"/>
  <c r="E1204"/>
  <c r="F1204"/>
  <c r="A640"/>
  <c r="C640"/>
  <c r="D640"/>
  <c r="E640"/>
  <c r="F640"/>
  <c r="A400"/>
  <c r="C400"/>
  <c r="D400"/>
  <c r="E400"/>
  <c r="F400"/>
  <c r="A305"/>
  <c r="C305"/>
  <c r="D305"/>
  <c r="E305"/>
  <c r="F305"/>
  <c r="A577"/>
  <c r="C577"/>
  <c r="D577"/>
  <c r="E577"/>
  <c r="F577"/>
  <c r="A522"/>
  <c r="C522"/>
  <c r="D522"/>
  <c r="E522"/>
  <c r="F522"/>
  <c r="A559"/>
  <c r="C559"/>
  <c r="D559"/>
  <c r="E559"/>
  <c r="F559"/>
  <c r="A428"/>
  <c r="C428"/>
  <c r="D428"/>
  <c r="E428"/>
  <c r="F428"/>
  <c r="A483"/>
  <c r="C483"/>
  <c r="D483"/>
  <c r="E483"/>
  <c r="F483"/>
  <c r="A1129"/>
  <c r="C1129"/>
  <c r="D1129"/>
  <c r="E1129"/>
  <c r="F1129"/>
  <c r="A973"/>
  <c r="C973"/>
  <c r="D973"/>
  <c r="E973"/>
  <c r="F973"/>
  <c r="A268"/>
  <c r="C268"/>
  <c r="D268"/>
  <c r="E268"/>
  <c r="F268"/>
  <c r="A475"/>
  <c r="C475"/>
  <c r="D475"/>
  <c r="E475"/>
  <c r="F475"/>
  <c r="A720"/>
  <c r="C720"/>
  <c r="D720"/>
  <c r="E720"/>
  <c r="F720"/>
  <c r="A615"/>
  <c r="C615"/>
  <c r="D615"/>
  <c r="E615"/>
  <c r="F615"/>
  <c r="A56"/>
  <c r="C56"/>
  <c r="D56"/>
  <c r="E56"/>
  <c r="F56"/>
  <c r="A311"/>
  <c r="C311"/>
  <c r="D311"/>
  <c r="E311"/>
  <c r="F311"/>
  <c r="A476"/>
  <c r="C476"/>
  <c r="D476"/>
  <c r="E476"/>
  <c r="F476"/>
  <c r="A29"/>
  <c r="C29"/>
  <c r="D29"/>
  <c r="E29"/>
  <c r="F29"/>
  <c r="A635"/>
  <c r="C635"/>
  <c r="D635"/>
  <c r="E635"/>
  <c r="F635"/>
  <c r="A351"/>
  <c r="C351"/>
  <c r="D351"/>
  <c r="E351"/>
  <c r="F351"/>
  <c r="A1028"/>
  <c r="C1028"/>
  <c r="D1028"/>
  <c r="E1028"/>
  <c r="F1028"/>
  <c r="A748"/>
  <c r="C748"/>
  <c r="D748"/>
  <c r="E748"/>
  <c r="F748"/>
  <c r="A758"/>
  <c r="C758"/>
  <c r="D758"/>
  <c r="E758"/>
  <c r="F758"/>
  <c r="A341"/>
  <c r="C341"/>
  <c r="D341"/>
  <c r="E341"/>
  <c r="F341"/>
  <c r="A15"/>
  <c r="C15"/>
  <c r="D15"/>
  <c r="E15"/>
  <c r="F15"/>
  <c r="A303"/>
  <c r="C303"/>
  <c r="D303"/>
  <c r="E303"/>
  <c r="F303"/>
  <c r="A14"/>
  <c r="C14"/>
  <c r="D14"/>
  <c r="E14"/>
  <c r="F14"/>
  <c r="A100"/>
  <c r="C100"/>
  <c r="D100"/>
  <c r="E100"/>
  <c r="F100"/>
  <c r="A159"/>
  <c r="C159"/>
  <c r="D159"/>
  <c r="E159"/>
  <c r="F159"/>
  <c r="A168"/>
  <c r="C168"/>
  <c r="D168"/>
  <c r="E168"/>
  <c r="F168"/>
  <c r="A845"/>
  <c r="C845"/>
  <c r="D845"/>
  <c r="E845"/>
  <c r="F845"/>
  <c r="A989"/>
  <c r="C989"/>
  <c r="D989"/>
  <c r="E989"/>
  <c r="F989"/>
  <c r="A987"/>
  <c r="C987"/>
  <c r="D987"/>
  <c r="E987"/>
  <c r="F987"/>
  <c r="A208"/>
  <c r="C208"/>
  <c r="D208"/>
  <c r="E208"/>
  <c r="F208"/>
  <c r="A1133"/>
  <c r="C1133"/>
  <c r="D1133"/>
  <c r="E1133"/>
  <c r="F1133"/>
  <c r="A197"/>
  <c r="C197"/>
  <c r="D197"/>
  <c r="E197"/>
  <c r="F197"/>
  <c r="A240"/>
  <c r="C240"/>
  <c r="D240"/>
  <c r="E240"/>
  <c r="F240"/>
  <c r="A827"/>
  <c r="C827"/>
  <c r="D827"/>
  <c r="E827"/>
  <c r="F827"/>
  <c r="A874"/>
  <c r="C874"/>
  <c r="D874"/>
  <c r="E874"/>
  <c r="F874"/>
  <c r="A426"/>
  <c r="C426"/>
  <c r="D426"/>
  <c r="E426"/>
  <c r="F426"/>
  <c r="A292"/>
  <c r="C292"/>
  <c r="D292"/>
  <c r="E292"/>
  <c r="F292"/>
  <c r="A276"/>
  <c r="C276"/>
  <c r="D276"/>
  <c r="E276"/>
  <c r="F276"/>
  <c r="A321"/>
  <c r="C321"/>
  <c r="D321"/>
  <c r="E321"/>
  <c r="F321"/>
  <c r="A1126"/>
  <c r="C1126"/>
  <c r="D1126"/>
  <c r="E1126"/>
  <c r="F1126"/>
  <c r="A1058"/>
  <c r="C1058"/>
  <c r="D1058"/>
  <c r="E1058"/>
  <c r="F1058"/>
  <c r="A309"/>
  <c r="C309"/>
  <c r="D309"/>
  <c r="E309"/>
  <c r="F309"/>
  <c r="A484"/>
  <c r="C484"/>
  <c r="D484"/>
  <c r="E484"/>
  <c r="F484"/>
  <c r="A731"/>
  <c r="C731"/>
  <c r="D731"/>
  <c r="E731"/>
  <c r="F731"/>
  <c r="A234"/>
  <c r="C234"/>
  <c r="D234"/>
  <c r="E234"/>
  <c r="F234"/>
  <c r="A628"/>
  <c r="C628"/>
  <c r="D628"/>
  <c r="E628"/>
  <c r="F628"/>
  <c r="A76"/>
  <c r="C76"/>
  <c r="D76"/>
  <c r="E76"/>
  <c r="F76"/>
  <c r="A655"/>
  <c r="C655"/>
  <c r="D655"/>
  <c r="E655"/>
  <c r="F655"/>
  <c r="A142"/>
  <c r="C142"/>
  <c r="D142"/>
  <c r="E142"/>
  <c r="F142"/>
  <c r="A370"/>
  <c r="C370"/>
  <c r="D370"/>
  <c r="E370"/>
  <c r="F370"/>
  <c r="A753"/>
  <c r="C753"/>
  <c r="D753"/>
  <c r="E753"/>
  <c r="F753"/>
  <c r="A186"/>
  <c r="C186"/>
  <c r="D186"/>
  <c r="E186"/>
  <c r="F186"/>
  <c r="A164"/>
  <c r="C164"/>
  <c r="D164"/>
  <c r="E164"/>
  <c r="F164"/>
  <c r="A491"/>
  <c r="C491"/>
  <c r="D491"/>
  <c r="E491"/>
  <c r="F491"/>
  <c r="A386"/>
  <c r="C386"/>
  <c r="D386"/>
  <c r="E386"/>
  <c r="F386"/>
  <c r="A939"/>
  <c r="C939"/>
  <c r="D939"/>
  <c r="E939"/>
  <c r="F939"/>
  <c r="A442"/>
  <c r="C442"/>
  <c r="D442"/>
  <c r="E442"/>
  <c r="F442"/>
  <c r="A411"/>
  <c r="C411"/>
  <c r="D411"/>
  <c r="E411"/>
  <c r="F411"/>
  <c r="A779"/>
  <c r="C779"/>
  <c r="D779"/>
  <c r="E779"/>
  <c r="F779"/>
  <c r="A123"/>
  <c r="C123"/>
  <c r="D123"/>
  <c r="E123"/>
  <c r="F123"/>
  <c r="A1173"/>
  <c r="C1173"/>
  <c r="D1173"/>
  <c r="E1173"/>
  <c r="F1173"/>
  <c r="A1022"/>
  <c r="C1022"/>
  <c r="D1022"/>
  <c r="E1022"/>
  <c r="F1022"/>
  <c r="A47"/>
  <c r="C47"/>
  <c r="D47"/>
  <c r="E47"/>
  <c r="F47"/>
  <c r="A1195"/>
  <c r="C1195"/>
  <c r="D1195"/>
  <c r="E1195"/>
  <c r="F1195"/>
  <c r="A639"/>
  <c r="C639"/>
  <c r="D639"/>
  <c r="E639"/>
  <c r="F639"/>
  <c r="A487"/>
  <c r="C487"/>
  <c r="D487"/>
  <c r="E487"/>
  <c r="F487"/>
  <c r="A450"/>
  <c r="C450"/>
  <c r="D450"/>
  <c r="E450"/>
  <c r="F450"/>
  <c r="A601"/>
  <c r="C601"/>
  <c r="D601"/>
  <c r="E601"/>
  <c r="F601"/>
  <c r="A734"/>
  <c r="C734"/>
  <c r="D734"/>
  <c r="E734"/>
  <c r="F734"/>
  <c r="A412"/>
  <c r="C412"/>
  <c r="D412"/>
  <c r="E412"/>
  <c r="F412"/>
  <c r="A1101"/>
  <c r="C1101"/>
  <c r="D1101"/>
  <c r="E1101"/>
  <c r="F1101"/>
  <c r="A129"/>
  <c r="C129"/>
  <c r="D129"/>
  <c r="E129"/>
  <c r="F129"/>
  <c r="A811"/>
  <c r="C811"/>
  <c r="D811"/>
  <c r="E811"/>
  <c r="F811"/>
  <c r="A728"/>
  <c r="C728"/>
  <c r="D728"/>
  <c r="E728"/>
  <c r="F728"/>
  <c r="A515"/>
  <c r="C515"/>
  <c r="D515"/>
  <c r="E515"/>
  <c r="F515"/>
  <c r="A372"/>
  <c r="C372"/>
  <c r="D372"/>
  <c r="E372"/>
  <c r="F372"/>
  <c r="A269"/>
  <c r="C269"/>
  <c r="D269"/>
  <c r="E269"/>
  <c r="F269"/>
  <c r="A1003"/>
  <c r="C1003"/>
  <c r="D1003"/>
  <c r="E1003"/>
  <c r="F1003"/>
  <c r="A270"/>
  <c r="C270"/>
  <c r="D270"/>
  <c r="E270"/>
  <c r="F270"/>
  <c r="A277"/>
  <c r="C277"/>
  <c r="D277"/>
  <c r="E277"/>
  <c r="F277"/>
  <c r="A509"/>
  <c r="C509"/>
  <c r="D509"/>
  <c r="E509"/>
  <c r="F509"/>
  <c r="A778"/>
  <c r="C778"/>
  <c r="D778"/>
  <c r="E778"/>
  <c r="F778"/>
  <c r="A618"/>
  <c r="C618"/>
  <c r="D618"/>
  <c r="E618"/>
  <c r="F618"/>
  <c r="A607"/>
  <c r="C607"/>
  <c r="D607"/>
  <c r="E607"/>
  <c r="F607"/>
  <c r="A1083"/>
  <c r="C1083"/>
  <c r="D1083"/>
  <c r="E1083"/>
  <c r="F1083"/>
  <c r="A1192"/>
  <c r="C1192"/>
  <c r="D1192"/>
  <c r="E1192"/>
  <c r="F1192"/>
  <c r="A147"/>
  <c r="C147"/>
  <c r="D147"/>
  <c r="E147"/>
  <c r="F147"/>
  <c r="A1012"/>
  <c r="C1012"/>
  <c r="D1012"/>
  <c r="E1012"/>
  <c r="F1012"/>
  <c r="A567"/>
  <c r="C567"/>
  <c r="D567"/>
  <c r="E567"/>
  <c r="F567"/>
  <c r="A770"/>
  <c r="C770"/>
  <c r="D770"/>
  <c r="E770"/>
  <c r="F770"/>
  <c r="A390"/>
  <c r="C390"/>
  <c r="D390"/>
  <c r="E390"/>
  <c r="F390"/>
  <c r="A262"/>
  <c r="C262"/>
  <c r="D262"/>
  <c r="E262"/>
  <c r="F262"/>
  <c r="A1134"/>
  <c r="C1134"/>
  <c r="D1134"/>
  <c r="E1134"/>
  <c r="F1134"/>
  <c r="A317"/>
  <c r="C317"/>
  <c r="D317"/>
  <c r="E317"/>
  <c r="F317"/>
  <c r="A362"/>
  <c r="C362"/>
  <c r="D362"/>
  <c r="E362"/>
  <c r="F362"/>
  <c r="A566"/>
  <c r="C566"/>
  <c r="D566"/>
  <c r="E566"/>
  <c r="F566"/>
  <c r="A41"/>
  <c r="C41"/>
  <c r="D41"/>
  <c r="E41"/>
  <c r="F41"/>
  <c r="A562"/>
  <c r="C562"/>
  <c r="D562"/>
  <c r="E562"/>
  <c r="F562"/>
  <c r="A1025"/>
  <c r="C1025"/>
  <c r="D1025"/>
  <c r="E1025"/>
  <c r="F1025"/>
  <c r="A569"/>
  <c r="C569"/>
  <c r="D569"/>
  <c r="E569"/>
  <c r="F569"/>
  <c r="A330"/>
  <c r="C330"/>
  <c r="D330"/>
  <c r="E330"/>
  <c r="F330"/>
  <c r="A596"/>
  <c r="C596"/>
  <c r="D596"/>
  <c r="E596"/>
  <c r="F596"/>
  <c r="A764"/>
  <c r="C764"/>
  <c r="D764"/>
  <c r="E764"/>
  <c r="F764"/>
  <c r="A210"/>
  <c r="C210"/>
  <c r="D210"/>
  <c r="E210"/>
  <c r="F210"/>
  <c r="A334"/>
  <c r="C334"/>
  <c r="D334"/>
  <c r="E334"/>
  <c r="F334"/>
  <c r="A217"/>
  <c r="C217"/>
  <c r="D217"/>
  <c r="E217"/>
  <c r="F217"/>
  <c r="A284"/>
  <c r="C284"/>
  <c r="D284"/>
  <c r="E284"/>
  <c r="F284"/>
  <c r="A235"/>
  <c r="C235"/>
  <c r="D235"/>
  <c r="E235"/>
  <c r="F235"/>
  <c r="A468"/>
  <c r="C468"/>
  <c r="D468"/>
  <c r="E468"/>
  <c r="F468"/>
  <c r="A903"/>
  <c r="C903"/>
  <c r="D903"/>
  <c r="E903"/>
  <c r="F903"/>
  <c r="A623"/>
  <c r="C623"/>
  <c r="D623"/>
  <c r="E623"/>
  <c r="F623"/>
  <c r="A1099"/>
  <c r="C1099"/>
  <c r="D1099"/>
  <c r="E1099"/>
  <c r="F1099"/>
  <c r="A148"/>
  <c r="C148"/>
  <c r="D148"/>
  <c r="E148"/>
  <c r="F148"/>
  <c r="A467"/>
  <c r="C467"/>
  <c r="D467"/>
  <c r="E467"/>
  <c r="F467"/>
  <c r="A783"/>
  <c r="C783"/>
  <c r="D783"/>
  <c r="E783"/>
  <c r="F783"/>
  <c r="A972"/>
  <c r="C972"/>
  <c r="D972"/>
  <c r="E972"/>
  <c r="F972"/>
  <c r="A215"/>
  <c r="C215"/>
  <c r="D215"/>
  <c r="E215"/>
  <c r="F215"/>
  <c r="A1120"/>
  <c r="C1120"/>
  <c r="D1120"/>
  <c r="E1120"/>
  <c r="F1120"/>
  <c r="A1047"/>
  <c r="C1047"/>
  <c r="D1047"/>
  <c r="E1047"/>
  <c r="F1047"/>
  <c r="A153"/>
  <c r="C153"/>
  <c r="D153"/>
  <c r="E153"/>
  <c r="F153"/>
  <c r="A605"/>
  <c r="C605"/>
  <c r="D605"/>
  <c r="E605"/>
  <c r="F605"/>
  <c r="A178"/>
  <c r="C178"/>
  <c r="D178"/>
  <c r="E178"/>
  <c r="F178"/>
  <c r="A729"/>
  <c r="C729"/>
  <c r="D729"/>
  <c r="E729"/>
  <c r="F729"/>
  <c r="A582"/>
  <c r="C582"/>
  <c r="D582"/>
  <c r="E582"/>
  <c r="F582"/>
  <c r="A806"/>
  <c r="C806"/>
  <c r="D806"/>
  <c r="E806"/>
  <c r="F806"/>
  <c r="A180"/>
  <c r="C180"/>
  <c r="D180"/>
  <c r="E180"/>
  <c r="F180"/>
  <c r="A44"/>
  <c r="C44"/>
  <c r="D44"/>
  <c r="E44"/>
  <c r="F44"/>
  <c r="A850"/>
  <c r="C850"/>
  <c r="D850"/>
  <c r="E850"/>
  <c r="F850"/>
  <c r="A464"/>
  <c r="C464"/>
  <c r="D464"/>
  <c r="E464"/>
  <c r="F464"/>
  <c r="A510"/>
  <c r="C510"/>
  <c r="D510"/>
  <c r="E510"/>
  <c r="F510"/>
  <c r="A243"/>
  <c r="C243"/>
  <c r="D243"/>
  <c r="E243"/>
  <c r="F243"/>
  <c r="A230"/>
  <c r="C230"/>
  <c r="D230"/>
  <c r="E230"/>
  <c r="F230"/>
  <c r="A746"/>
  <c r="C746"/>
  <c r="D746"/>
  <c r="E746"/>
  <c r="F746"/>
  <c r="A381"/>
  <c r="C381"/>
  <c r="D381"/>
  <c r="E381"/>
  <c r="F381"/>
  <c r="A713"/>
  <c r="C713"/>
  <c r="D713"/>
  <c r="E713"/>
  <c r="F713"/>
  <c r="A279"/>
  <c r="C279"/>
  <c r="D279"/>
  <c r="E279"/>
  <c r="F279"/>
  <c r="A389"/>
  <c r="C389"/>
  <c r="D389"/>
  <c r="E389"/>
  <c r="F389"/>
  <c r="A918"/>
  <c r="C918"/>
  <c r="D918"/>
  <c r="E918"/>
  <c r="F918"/>
  <c r="A274"/>
  <c r="C274"/>
  <c r="D274"/>
  <c r="E274"/>
  <c r="F274"/>
  <c r="A419"/>
  <c r="C419"/>
  <c r="D419"/>
  <c r="E419"/>
  <c r="F419"/>
  <c r="A535"/>
  <c r="C535"/>
  <c r="D535"/>
  <c r="E535"/>
  <c r="F535"/>
  <c r="A193"/>
  <c r="C193"/>
  <c r="D193"/>
  <c r="E193"/>
  <c r="F193"/>
  <c r="A745"/>
  <c r="C745"/>
  <c r="D745"/>
  <c r="E745"/>
  <c r="F745"/>
  <c r="A219"/>
  <c r="C219"/>
  <c r="D219"/>
  <c r="E219"/>
  <c r="F219"/>
  <c r="A908"/>
  <c r="C908"/>
  <c r="D908"/>
  <c r="E908"/>
  <c r="F908"/>
  <c r="A42"/>
  <c r="C42"/>
  <c r="D42"/>
  <c r="E42"/>
  <c r="F42"/>
  <c r="A78"/>
  <c r="C78"/>
  <c r="D78"/>
  <c r="E78"/>
  <c r="F78"/>
  <c r="A318"/>
  <c r="C318"/>
  <c r="D318"/>
  <c r="E318"/>
  <c r="F318"/>
  <c r="A950"/>
  <c r="C950"/>
  <c r="D950"/>
  <c r="E950"/>
  <c r="F950"/>
  <c r="A112"/>
  <c r="C112"/>
  <c r="D112"/>
  <c r="E112"/>
  <c r="F112"/>
  <c r="A375"/>
  <c r="C375"/>
  <c r="D375"/>
  <c r="E375"/>
  <c r="F375"/>
  <c r="A951"/>
  <c r="C951"/>
  <c r="D951"/>
  <c r="E951"/>
  <c r="F951"/>
  <c r="A27"/>
  <c r="C27"/>
  <c r="D27"/>
  <c r="E27"/>
  <c r="F27"/>
  <c r="A345"/>
  <c r="C345"/>
  <c r="D345"/>
  <c r="E345"/>
  <c r="F345"/>
  <c r="A421"/>
  <c r="C421"/>
  <c r="D421"/>
  <c r="E421"/>
  <c r="F421"/>
  <c r="A657"/>
  <c r="C657"/>
  <c r="D657"/>
  <c r="E657"/>
  <c r="F657"/>
  <c r="A496"/>
  <c r="C496"/>
  <c r="D496"/>
  <c r="E496"/>
  <c r="F496"/>
  <c r="A881"/>
  <c r="C881"/>
  <c r="D881"/>
  <c r="E881"/>
  <c r="F881"/>
  <c r="A265"/>
  <c r="C265"/>
  <c r="D265"/>
  <c r="E265"/>
  <c r="F265"/>
  <c r="A462"/>
  <c r="C462"/>
  <c r="D462"/>
  <c r="E462"/>
  <c r="F462"/>
  <c r="A314"/>
  <c r="C314"/>
  <c r="D314"/>
  <c r="E314"/>
  <c r="F314"/>
  <c r="A222"/>
  <c r="C222"/>
  <c r="D222"/>
  <c r="E222"/>
  <c r="F222"/>
  <c r="A403"/>
  <c r="C403"/>
  <c r="D403"/>
  <c r="E403"/>
  <c r="F403"/>
  <c r="A955"/>
  <c r="C955"/>
  <c r="D955"/>
  <c r="E955"/>
  <c r="F955"/>
  <c r="A629"/>
  <c r="C629"/>
  <c r="D629"/>
  <c r="E629"/>
  <c r="F629"/>
  <c r="A659"/>
  <c r="C659"/>
  <c r="D659"/>
  <c r="E659"/>
  <c r="F659"/>
  <c r="A902"/>
  <c r="C902"/>
  <c r="D902"/>
  <c r="E902"/>
  <c r="F902"/>
  <c r="A397"/>
  <c r="C397"/>
  <c r="D397"/>
  <c r="E397"/>
  <c r="F397"/>
  <c r="A31"/>
  <c r="C31"/>
  <c r="D31"/>
  <c r="E31"/>
  <c r="F31"/>
  <c r="A846"/>
  <c r="C846"/>
  <c r="D846"/>
  <c r="E846"/>
  <c r="F846"/>
  <c r="A313"/>
  <c r="C313"/>
  <c r="D313"/>
  <c r="E313"/>
  <c r="F313"/>
  <c r="A9"/>
  <c r="C9"/>
  <c r="D9"/>
  <c r="E9"/>
  <c r="F9"/>
  <c r="A1018"/>
  <c r="C1018"/>
  <c r="D1018"/>
  <c r="E1018"/>
  <c r="F1018"/>
  <c r="A236"/>
  <c r="C236"/>
  <c r="D236"/>
  <c r="E236"/>
  <c r="F236"/>
  <c r="A145"/>
  <c r="C145"/>
  <c r="D145"/>
  <c r="E145"/>
  <c r="F145"/>
  <c r="A232"/>
  <c r="C232"/>
  <c r="D232"/>
  <c r="E232"/>
  <c r="F232"/>
  <c r="A726"/>
  <c r="C726"/>
  <c r="D726"/>
  <c r="E726"/>
  <c r="F726"/>
  <c r="A174"/>
  <c r="C174"/>
  <c r="D174"/>
  <c r="E174"/>
  <c r="F174"/>
  <c r="A500"/>
  <c r="C500"/>
  <c r="D500"/>
  <c r="E500"/>
  <c r="F500"/>
  <c r="A188"/>
  <c r="C188"/>
  <c r="D188"/>
  <c r="E188"/>
  <c r="F188"/>
  <c r="A767"/>
  <c r="C767"/>
  <c r="D767"/>
  <c r="E767"/>
  <c r="F767"/>
  <c r="A23"/>
  <c r="C23"/>
  <c r="D23"/>
  <c r="E23"/>
  <c r="F23"/>
  <c r="A470"/>
  <c r="C470"/>
  <c r="D470"/>
  <c r="E470"/>
  <c r="F470"/>
  <c r="A530"/>
  <c r="C530"/>
  <c r="D530"/>
  <c r="E530"/>
  <c r="F530"/>
  <c r="A1209"/>
  <c r="C1209"/>
  <c r="D1209"/>
  <c r="E1209"/>
  <c r="F1209"/>
  <c r="A244"/>
  <c r="C244"/>
  <c r="D244"/>
  <c r="E244"/>
  <c r="F244"/>
  <c r="A606"/>
  <c r="C606"/>
  <c r="D606"/>
  <c r="E606"/>
  <c r="F606"/>
  <c r="A458"/>
  <c r="C458"/>
  <c r="D458"/>
  <c r="E458"/>
  <c r="F458"/>
  <c r="A455"/>
  <c r="C455"/>
  <c r="D455"/>
  <c r="E455"/>
  <c r="F455"/>
  <c r="A99"/>
  <c r="C99"/>
  <c r="D99"/>
  <c r="E99"/>
  <c r="F99"/>
  <c r="A128"/>
  <c r="C128"/>
  <c r="D128"/>
  <c r="E128"/>
  <c r="F128"/>
  <c r="A17"/>
  <c r="C17"/>
  <c r="D17"/>
  <c r="E17"/>
  <c r="F17"/>
  <c r="A755"/>
  <c r="C755"/>
  <c r="D755"/>
  <c r="E755"/>
  <c r="F755"/>
  <c r="A895"/>
  <c r="C895"/>
  <c r="D895"/>
  <c r="E895"/>
  <c r="F895"/>
  <c r="A968"/>
  <c r="C968"/>
  <c r="D968"/>
  <c r="E968"/>
  <c r="F968"/>
  <c r="A695"/>
  <c r="C695"/>
  <c r="D695"/>
  <c r="E695"/>
  <c r="F695"/>
  <c r="A590"/>
  <c r="C590"/>
  <c r="D590"/>
  <c r="E590"/>
  <c r="F590"/>
  <c r="A632"/>
  <c r="C632"/>
  <c r="D632"/>
  <c r="E632"/>
  <c r="F632"/>
  <c r="A547"/>
  <c r="C547"/>
  <c r="D547"/>
  <c r="E547"/>
  <c r="F547"/>
  <c r="A706"/>
  <c r="C706"/>
  <c r="D706"/>
  <c r="E706"/>
  <c r="F706"/>
  <c r="A369"/>
  <c r="C369"/>
  <c r="D369"/>
  <c r="E369"/>
  <c r="F369"/>
  <c r="A143"/>
  <c r="C143"/>
  <c r="D143"/>
  <c r="E143"/>
  <c r="F143"/>
  <c r="A72"/>
  <c r="C72"/>
  <c r="D72"/>
  <c r="E72"/>
  <c r="F72"/>
  <c r="A801"/>
  <c r="C801"/>
  <c r="D801"/>
  <c r="E801"/>
  <c r="F801"/>
  <c r="A416"/>
  <c r="C416"/>
  <c r="D416"/>
  <c r="E416"/>
  <c r="F416"/>
  <c r="A694"/>
  <c r="C694"/>
  <c r="D694"/>
  <c r="E694"/>
  <c r="F694"/>
  <c r="A815"/>
  <c r="C815"/>
  <c r="D815"/>
  <c r="E815"/>
  <c r="F815"/>
  <c r="A380"/>
  <c r="C380"/>
  <c r="D380"/>
  <c r="E380"/>
  <c r="F380"/>
  <c r="A331"/>
  <c r="C331"/>
  <c r="D331"/>
  <c r="E331"/>
  <c r="F331"/>
  <c r="A844"/>
  <c r="C844"/>
  <c r="D844"/>
  <c r="E844"/>
  <c r="F844"/>
  <c r="A579"/>
  <c r="C579"/>
  <c r="D579"/>
  <c r="E579"/>
  <c r="F579"/>
  <c r="A30"/>
  <c r="C30"/>
  <c r="D30"/>
  <c r="E30"/>
  <c r="F30"/>
  <c r="A102"/>
  <c r="C102"/>
  <c r="D102"/>
  <c r="E102"/>
  <c r="F102"/>
  <c r="A714"/>
  <c r="C714"/>
  <c r="D714"/>
  <c r="E714"/>
  <c r="F714"/>
  <c r="A931"/>
  <c r="C931"/>
  <c r="D931"/>
  <c r="E931"/>
  <c r="F931"/>
  <c r="A417"/>
  <c r="C417"/>
  <c r="D417"/>
  <c r="E417"/>
  <c r="F417"/>
  <c r="A124"/>
  <c r="C124"/>
  <c r="D124"/>
  <c r="E124"/>
  <c r="F124"/>
  <c r="A693"/>
  <c r="C693"/>
  <c r="D693"/>
  <c r="E693"/>
  <c r="F693"/>
  <c r="A353"/>
  <c r="C353"/>
  <c r="D353"/>
  <c r="E353"/>
  <c r="F353"/>
  <c r="A39"/>
  <c r="C39"/>
  <c r="D39"/>
  <c r="E39"/>
  <c r="F39"/>
  <c r="A1166"/>
  <c r="C1166"/>
  <c r="D1166"/>
  <c r="E1166"/>
  <c r="F1166"/>
  <c r="A299"/>
  <c r="C299"/>
  <c r="D299"/>
  <c r="E299"/>
  <c r="F299"/>
  <c r="A445"/>
  <c r="C445"/>
  <c r="D445"/>
  <c r="E445"/>
  <c r="F445"/>
  <c r="A26"/>
  <c r="C26"/>
  <c r="D26"/>
  <c r="E26"/>
  <c r="F26"/>
  <c r="A558"/>
  <c r="C558"/>
  <c r="D558"/>
  <c r="E558"/>
  <c r="F558"/>
  <c r="A53"/>
  <c r="C53"/>
  <c r="D53"/>
  <c r="E53"/>
  <c r="F53"/>
  <c r="A239"/>
  <c r="C239"/>
  <c r="D239"/>
  <c r="E239"/>
  <c r="F239"/>
  <c r="A275"/>
  <c r="C275"/>
  <c r="D275"/>
  <c r="E275"/>
  <c r="F275"/>
  <c r="A225"/>
  <c r="C225"/>
  <c r="D225"/>
  <c r="E225"/>
  <c r="F225"/>
  <c r="A196"/>
  <c r="C196"/>
  <c r="D196"/>
  <c r="E196"/>
  <c r="F196"/>
  <c r="A1159"/>
  <c r="C1159"/>
  <c r="D1159"/>
  <c r="E1159"/>
  <c r="F1159"/>
  <c r="A578"/>
  <c r="C578"/>
  <c r="D578"/>
  <c r="E578"/>
  <c r="F578"/>
  <c r="A1148"/>
  <c r="C1148"/>
  <c r="D1148"/>
  <c r="E1148"/>
  <c r="F1148"/>
  <c r="A423"/>
  <c r="C423"/>
  <c r="D423"/>
  <c r="E423"/>
  <c r="F423"/>
  <c r="A885"/>
  <c r="C885"/>
  <c r="D885"/>
  <c r="E885"/>
  <c r="F885"/>
  <c r="A346"/>
  <c r="C346"/>
  <c r="D346"/>
  <c r="E346"/>
  <c r="F346"/>
  <c r="A526"/>
  <c r="C526"/>
  <c r="D526"/>
  <c r="E526"/>
  <c r="F526"/>
  <c r="A1215"/>
  <c r="C1215"/>
  <c r="D1215"/>
  <c r="E1215"/>
  <c r="F1215"/>
  <c r="A216"/>
  <c r="C216"/>
  <c r="D216"/>
  <c r="E216"/>
  <c r="F216"/>
  <c r="A175"/>
  <c r="C175"/>
  <c r="D175"/>
  <c r="E175"/>
  <c r="F175"/>
  <c r="A768"/>
  <c r="C768"/>
  <c r="D768"/>
  <c r="E768"/>
  <c r="F768"/>
  <c r="A719"/>
  <c r="C719"/>
  <c r="D719"/>
  <c r="E719"/>
  <c r="F719"/>
  <c r="A638"/>
  <c r="C638"/>
  <c r="D638"/>
  <c r="E638"/>
  <c r="F638"/>
  <c r="A621"/>
  <c r="C621"/>
  <c r="D621"/>
  <c r="E621"/>
  <c r="F621"/>
  <c r="A88"/>
  <c r="C88"/>
  <c r="D88"/>
  <c r="E88"/>
  <c r="F88"/>
  <c r="A576"/>
  <c r="C576"/>
  <c r="D576"/>
  <c r="E576"/>
  <c r="F576"/>
  <c r="A1214"/>
  <c r="C1214"/>
  <c r="D1214"/>
  <c r="E1214"/>
  <c r="F1214"/>
  <c r="A798"/>
  <c r="C798"/>
  <c r="D798"/>
  <c r="E798"/>
  <c r="F798"/>
  <c r="A264"/>
  <c r="C264"/>
  <c r="D264"/>
  <c r="E264"/>
  <c r="F264"/>
  <c r="A995"/>
  <c r="C995"/>
  <c r="D995"/>
  <c r="E995"/>
  <c r="F995"/>
  <c r="A35"/>
  <c r="C35"/>
  <c r="D35"/>
  <c r="E35"/>
  <c r="F35"/>
  <c r="A646"/>
  <c r="C646"/>
  <c r="D646"/>
  <c r="E646"/>
  <c r="F646"/>
  <c r="A1084"/>
  <c r="C1084"/>
  <c r="D1084"/>
  <c r="E1084"/>
  <c r="F1084"/>
  <c r="A379"/>
  <c r="C379"/>
  <c r="D379"/>
  <c r="E379"/>
  <c r="F379"/>
  <c r="A679"/>
  <c r="C679"/>
  <c r="D679"/>
  <c r="E679"/>
  <c r="F679"/>
  <c r="A517"/>
  <c r="C517"/>
  <c r="D517"/>
  <c r="E517"/>
  <c r="F517"/>
  <c r="A320"/>
  <c r="C320"/>
  <c r="D320"/>
  <c r="E320"/>
  <c r="F320"/>
  <c r="A80"/>
  <c r="C80"/>
  <c r="D80"/>
  <c r="E80"/>
  <c r="F80"/>
  <c r="A1110"/>
  <c r="C1110"/>
  <c r="D1110"/>
  <c r="E1110"/>
  <c r="F1110"/>
  <c r="A290"/>
  <c r="C290"/>
  <c r="D290"/>
  <c r="E290"/>
  <c r="F290"/>
  <c r="A707"/>
  <c r="C707"/>
  <c r="D707"/>
  <c r="E707"/>
  <c r="F707"/>
  <c r="A70"/>
  <c r="C70"/>
  <c r="D70"/>
  <c r="E70"/>
  <c r="F70"/>
  <c r="A473"/>
  <c r="C473"/>
  <c r="D473"/>
  <c r="E473"/>
  <c r="F473"/>
  <c r="A478"/>
  <c r="C478"/>
  <c r="D478"/>
  <c r="E478"/>
  <c r="F478"/>
  <c r="A765"/>
  <c r="C765"/>
  <c r="D765"/>
  <c r="E765"/>
  <c r="F765"/>
  <c r="A677"/>
  <c r="C677"/>
  <c r="D677"/>
  <c r="E677"/>
  <c r="F677"/>
  <c r="A422"/>
  <c r="C422"/>
  <c r="D422"/>
  <c r="E422"/>
  <c r="F422"/>
  <c r="A448"/>
  <c r="C448"/>
  <c r="D448"/>
  <c r="E448"/>
  <c r="F448"/>
  <c r="A548"/>
  <c r="C548"/>
  <c r="D548"/>
  <c r="E548"/>
  <c r="F548"/>
  <c r="A1127"/>
  <c r="C1127"/>
  <c r="D1127"/>
  <c r="E1127"/>
  <c r="F1127"/>
  <c r="A724"/>
  <c r="C724"/>
  <c r="D724"/>
  <c r="E724"/>
  <c r="F724"/>
  <c r="A619"/>
  <c r="C619"/>
  <c r="D619"/>
  <c r="E619"/>
  <c r="F619"/>
  <c r="A323"/>
  <c r="C323"/>
  <c r="D323"/>
  <c r="E323"/>
  <c r="F323"/>
  <c r="A45"/>
  <c r="C45"/>
  <c r="D45"/>
  <c r="E45"/>
  <c r="F45"/>
  <c r="A678"/>
  <c r="C678"/>
  <c r="D678"/>
  <c r="E678"/>
  <c r="F678"/>
  <c r="A893"/>
  <c r="C893"/>
  <c r="D893"/>
  <c r="E893"/>
  <c r="F893"/>
  <c r="A163"/>
  <c r="C163"/>
  <c r="D163"/>
  <c r="E163"/>
  <c r="F163"/>
  <c r="A28"/>
  <c r="C28"/>
  <c r="D28"/>
  <c r="E28"/>
  <c r="F28"/>
  <c r="A808"/>
  <c r="C808"/>
  <c r="D808"/>
  <c r="E808"/>
  <c r="F808"/>
  <c r="A396"/>
  <c r="C396"/>
  <c r="D396"/>
  <c r="E396"/>
  <c r="F396"/>
  <c r="A571"/>
  <c r="C571"/>
  <c r="D571"/>
  <c r="E571"/>
  <c r="F571"/>
  <c r="A388"/>
  <c r="C388"/>
  <c r="D388"/>
  <c r="E388"/>
  <c r="F388"/>
  <c r="A1094"/>
  <c r="C1094"/>
  <c r="D1094"/>
  <c r="E1094"/>
  <c r="F1094"/>
  <c r="A490"/>
  <c r="C490"/>
  <c r="D490"/>
  <c r="E490"/>
  <c r="F490"/>
  <c r="A171"/>
  <c r="C171"/>
  <c r="D171"/>
  <c r="E171"/>
  <c r="F171"/>
  <c r="A542"/>
  <c r="C542"/>
  <c r="D542"/>
  <c r="E542"/>
  <c r="F542"/>
  <c r="A698"/>
  <c r="C698"/>
  <c r="D698"/>
  <c r="E698"/>
  <c r="F698"/>
  <c r="A120"/>
  <c r="C120"/>
  <c r="D120"/>
  <c r="E120"/>
  <c r="F120"/>
  <c r="A1027"/>
  <c r="C1027"/>
  <c r="D1027"/>
  <c r="E1027"/>
  <c r="F1027"/>
  <c r="A884"/>
  <c r="C884"/>
  <c r="D884"/>
  <c r="E884"/>
  <c r="F884"/>
  <c r="A892"/>
  <c r="C892"/>
  <c r="D892"/>
  <c r="E892"/>
  <c r="F892"/>
  <c r="A1001"/>
  <c r="C1001"/>
  <c r="D1001"/>
  <c r="E1001"/>
  <c r="F1001"/>
  <c r="A238"/>
  <c r="C238"/>
  <c r="D238"/>
  <c r="E238"/>
  <c r="F238"/>
  <c r="A391"/>
  <c r="C391"/>
  <c r="D391"/>
  <c r="E391"/>
  <c r="F391"/>
  <c r="A900"/>
  <c r="C900"/>
  <c r="D900"/>
  <c r="E900"/>
  <c r="F900"/>
  <c r="A385"/>
  <c r="C385"/>
  <c r="D385"/>
  <c r="E385"/>
  <c r="F385"/>
  <c r="A218"/>
  <c r="C218"/>
  <c r="D218"/>
  <c r="E218"/>
  <c r="F218"/>
  <c r="A1181"/>
  <c r="C1181"/>
  <c r="D1181"/>
  <c r="E1181"/>
  <c r="F1181"/>
  <c r="A131"/>
  <c r="C131"/>
  <c r="D131"/>
  <c r="E131"/>
  <c r="F131"/>
  <c r="A1091"/>
  <c r="C1091"/>
  <c r="D1091"/>
  <c r="E1091"/>
  <c r="F1091"/>
  <c r="A984"/>
  <c r="C984"/>
  <c r="D984"/>
  <c r="E984"/>
  <c r="F984"/>
  <c r="A823"/>
  <c r="C823"/>
  <c r="D823"/>
  <c r="E823"/>
  <c r="F823"/>
  <c r="A546"/>
  <c r="C546"/>
  <c r="D546"/>
  <c r="E546"/>
  <c r="F546"/>
  <c r="A1211"/>
  <c r="C1211"/>
  <c r="D1211"/>
  <c r="E1211"/>
  <c r="F1211"/>
  <c r="A135"/>
  <c r="C135"/>
  <c r="D135"/>
  <c r="E135"/>
  <c r="F135"/>
  <c r="A654"/>
  <c r="C654"/>
  <c r="D654"/>
  <c r="E654"/>
  <c r="F654"/>
  <c r="A190"/>
  <c r="C190"/>
  <c r="D190"/>
  <c r="E190"/>
  <c r="F190"/>
  <c r="A733"/>
  <c r="C733"/>
  <c r="D733"/>
  <c r="E733"/>
  <c r="F733"/>
  <c r="A624"/>
  <c r="C624"/>
  <c r="D624"/>
  <c r="E624"/>
  <c r="F624"/>
  <c r="A711"/>
  <c r="C711"/>
  <c r="D711"/>
  <c r="E711"/>
  <c r="F711"/>
  <c r="A710"/>
  <c r="C710"/>
  <c r="D710"/>
  <c r="E710"/>
  <c r="F710"/>
  <c r="A519"/>
  <c r="C519"/>
  <c r="D519"/>
  <c r="E519"/>
  <c r="F519"/>
  <c r="A377"/>
  <c r="C377"/>
  <c r="D377"/>
  <c r="E377"/>
  <c r="F377"/>
  <c r="A495"/>
  <c r="C495"/>
  <c r="D495"/>
  <c r="E495"/>
  <c r="F495"/>
  <c r="A355"/>
  <c r="C355"/>
  <c r="D355"/>
  <c r="E355"/>
  <c r="F355"/>
  <c r="A460"/>
  <c r="C460"/>
  <c r="D460"/>
  <c r="E460"/>
  <c r="F460"/>
  <c r="A565"/>
  <c r="C565"/>
  <c r="D565"/>
  <c r="E565"/>
  <c r="F565"/>
  <c r="A959"/>
  <c r="C959"/>
  <c r="D959"/>
  <c r="E959"/>
  <c r="F959"/>
  <c r="A170"/>
  <c r="C170"/>
  <c r="D170"/>
  <c r="E170"/>
  <c r="F170"/>
  <c r="A446"/>
  <c r="C446"/>
  <c r="D446"/>
  <c r="E446"/>
  <c r="F446"/>
  <c r="A77"/>
  <c r="C77"/>
  <c r="D77"/>
  <c r="E77"/>
  <c r="F77"/>
  <c r="A837"/>
  <c r="C837"/>
  <c r="D837"/>
  <c r="E837"/>
  <c r="F837"/>
  <c r="A1147"/>
  <c r="C1147"/>
  <c r="D1147"/>
  <c r="E1147"/>
  <c r="F1147"/>
  <c r="A418"/>
  <c r="C418"/>
  <c r="D418"/>
  <c r="E418"/>
  <c r="F418"/>
  <c r="A520"/>
  <c r="C520"/>
  <c r="D520"/>
  <c r="E520"/>
  <c r="F520"/>
  <c r="A410"/>
  <c r="C410"/>
  <c r="D410"/>
  <c r="E410"/>
  <c r="F410"/>
  <c r="A534"/>
  <c r="C534"/>
  <c r="D534"/>
  <c r="E534"/>
  <c r="F534"/>
  <c r="A137"/>
  <c r="C137"/>
  <c r="D137"/>
  <c r="E137"/>
  <c r="F137"/>
  <c r="A868"/>
  <c r="C868"/>
  <c r="D868"/>
  <c r="E868"/>
  <c r="F868"/>
  <c r="A549"/>
  <c r="C549"/>
  <c r="D549"/>
  <c r="E549"/>
  <c r="F549"/>
  <c r="A1052"/>
  <c r="C1052"/>
  <c r="D1052"/>
  <c r="E1052"/>
  <c r="F1052"/>
  <c r="A555"/>
  <c r="C555"/>
  <c r="D555"/>
  <c r="E555"/>
  <c r="F555"/>
  <c r="A738"/>
  <c r="C738"/>
  <c r="D738"/>
  <c r="E738"/>
  <c r="F738"/>
  <c r="A297"/>
  <c r="C297"/>
  <c r="D297"/>
  <c r="E297"/>
  <c r="F297"/>
  <c r="A296"/>
  <c r="C296"/>
  <c r="D296"/>
  <c r="E296"/>
  <c r="F296"/>
  <c r="A853"/>
  <c r="C853"/>
  <c r="D853"/>
  <c r="E853"/>
  <c r="F853"/>
  <c r="A406"/>
  <c r="C406"/>
  <c r="D406"/>
  <c r="E406"/>
  <c r="F406"/>
  <c r="A6"/>
  <c r="C6"/>
  <c r="D6"/>
  <c r="E6"/>
  <c r="F6"/>
  <c r="A46"/>
  <c r="C46"/>
  <c r="D46"/>
  <c r="E46"/>
  <c r="F46"/>
  <c r="A1203"/>
  <c r="C1203"/>
  <c r="D1203"/>
  <c r="E1203"/>
  <c r="F1203"/>
  <c r="A482"/>
  <c r="C482"/>
  <c r="D482"/>
  <c r="E482"/>
  <c r="F482"/>
  <c r="A461"/>
  <c r="C461"/>
  <c r="D461"/>
  <c r="E461"/>
  <c r="F461"/>
  <c r="A649"/>
  <c r="C649"/>
  <c r="D649"/>
  <c r="E649"/>
  <c r="F649"/>
  <c r="A194"/>
  <c r="C194"/>
  <c r="D194"/>
  <c r="E194"/>
  <c r="F194"/>
  <c r="A1011"/>
  <c r="C1011"/>
  <c r="D1011"/>
  <c r="E1011"/>
  <c r="F1011"/>
  <c r="A22"/>
  <c r="C22"/>
  <c r="D22"/>
  <c r="E22"/>
  <c r="F22"/>
  <c r="A1024"/>
  <c r="C1024"/>
  <c r="D1024"/>
  <c r="E1024"/>
  <c r="F1024"/>
  <c r="A81"/>
  <c r="C81"/>
  <c r="D81"/>
  <c r="E81"/>
  <c r="F81"/>
  <c r="A1068"/>
  <c r="C1068"/>
  <c r="D1068"/>
  <c r="E1068"/>
  <c r="F1068"/>
  <c r="A976"/>
  <c r="C976"/>
  <c r="D976"/>
  <c r="E976"/>
  <c r="F976"/>
  <c r="A430"/>
  <c r="C430"/>
  <c r="D430"/>
  <c r="E430"/>
  <c r="F430"/>
  <c r="A1198"/>
  <c r="C1198"/>
  <c r="D1198"/>
  <c r="E1198"/>
  <c r="F1198"/>
  <c r="A251"/>
  <c r="C251"/>
  <c r="D251"/>
  <c r="E251"/>
  <c r="F251"/>
  <c r="A980"/>
  <c r="C980"/>
  <c r="D980"/>
  <c r="E980"/>
  <c r="F980"/>
  <c r="A233"/>
  <c r="C233"/>
  <c r="D233"/>
  <c r="E233"/>
  <c r="F233"/>
  <c r="A699"/>
  <c r="C699"/>
  <c r="D699"/>
  <c r="E699"/>
  <c r="F699"/>
  <c r="A943"/>
  <c r="C943"/>
  <c r="D943"/>
  <c r="E943"/>
  <c r="F943"/>
  <c r="A1122"/>
  <c r="C1122"/>
  <c r="D1122"/>
  <c r="E1122"/>
  <c r="F1122"/>
  <c r="A873"/>
  <c r="C873"/>
  <c r="D873"/>
  <c r="E873"/>
  <c r="F873"/>
  <c r="A1081"/>
  <c r="C1081"/>
  <c r="D1081"/>
  <c r="E1081"/>
  <c r="F1081"/>
  <c r="A922"/>
  <c r="C922"/>
  <c r="D922"/>
  <c r="E922"/>
  <c r="F922"/>
  <c r="A152"/>
  <c r="C152"/>
  <c r="D152"/>
  <c r="E152"/>
  <c r="F152"/>
  <c r="A67"/>
  <c r="C67"/>
  <c r="D67"/>
  <c r="E67"/>
  <c r="F67"/>
  <c r="A207"/>
  <c r="C207"/>
  <c r="D207"/>
  <c r="E207"/>
  <c r="F207"/>
  <c r="A402"/>
  <c r="C402"/>
  <c r="D402"/>
  <c r="E402"/>
  <c r="F402"/>
  <c r="A1137"/>
  <c r="C1137"/>
  <c r="D1137"/>
  <c r="E1137"/>
  <c r="F1137"/>
  <c r="A263"/>
  <c r="C263"/>
  <c r="D263"/>
  <c r="E263"/>
  <c r="F263"/>
  <c r="A993"/>
  <c r="C993"/>
  <c r="D993"/>
  <c r="E993"/>
  <c r="F993"/>
  <c r="A332"/>
  <c r="C332"/>
  <c r="D332"/>
  <c r="E332"/>
  <c r="F332"/>
  <c r="A304"/>
  <c r="C304"/>
  <c r="D304"/>
  <c r="E304"/>
  <c r="F304"/>
  <c r="A990"/>
  <c r="C990"/>
  <c r="D990"/>
  <c r="E990"/>
  <c r="F990"/>
  <c r="A912"/>
  <c r="C912"/>
  <c r="D912"/>
  <c r="E912"/>
  <c r="F912"/>
  <c r="A773"/>
  <c r="C773"/>
  <c r="D773"/>
  <c r="E773"/>
  <c r="F773"/>
  <c r="A52"/>
  <c r="C52"/>
  <c r="D52"/>
  <c r="E52"/>
  <c r="F52"/>
  <c r="A1017"/>
  <c r="C1017"/>
  <c r="D1017"/>
  <c r="E1017"/>
  <c r="F1017"/>
  <c r="A947"/>
  <c r="C947"/>
  <c r="D947"/>
  <c r="E947"/>
  <c r="F947"/>
  <c r="A209"/>
  <c r="C209"/>
  <c r="D209"/>
  <c r="E209"/>
  <c r="F209"/>
  <c r="A1046"/>
  <c r="C1046"/>
  <c r="D1046"/>
  <c r="E1046"/>
  <c r="F1046"/>
  <c r="A942"/>
  <c r="C942"/>
  <c r="D942"/>
  <c r="E942"/>
  <c r="F942"/>
  <c r="A647"/>
  <c r="C647"/>
  <c r="D647"/>
  <c r="E647"/>
  <c r="F647"/>
  <c r="A953"/>
  <c r="C953"/>
  <c r="D953"/>
  <c r="E953"/>
  <c r="F953"/>
  <c r="A665"/>
  <c r="C665"/>
  <c r="D665"/>
  <c r="E665"/>
  <c r="F665"/>
  <c r="A557"/>
  <c r="C557"/>
  <c r="D557"/>
  <c r="E557"/>
  <c r="F557"/>
  <c r="A587"/>
  <c r="C587"/>
  <c r="D587"/>
  <c r="E587"/>
  <c r="F587"/>
  <c r="A563"/>
  <c r="C563"/>
  <c r="D563"/>
  <c r="E563"/>
  <c r="F563"/>
  <c r="A697"/>
  <c r="C697"/>
  <c r="D697"/>
  <c r="E697"/>
  <c r="F697"/>
  <c r="A157"/>
  <c r="C157"/>
  <c r="D157"/>
  <c r="E157"/>
  <c r="F157"/>
  <c r="A886"/>
  <c r="C886"/>
  <c r="D886"/>
  <c r="E886"/>
  <c r="F886"/>
  <c r="A242"/>
  <c r="C242"/>
  <c r="D242"/>
  <c r="E242"/>
  <c r="F242"/>
  <c r="A298"/>
  <c r="C298"/>
  <c r="D298"/>
  <c r="E298"/>
  <c r="F298"/>
  <c r="A111"/>
  <c r="C111"/>
  <c r="D111"/>
  <c r="E111"/>
  <c r="F111"/>
  <c r="A529"/>
  <c r="C529"/>
  <c r="D529"/>
  <c r="E529"/>
  <c r="F529"/>
  <c r="A466"/>
  <c r="C466"/>
  <c r="D466"/>
  <c r="E466"/>
  <c r="F466"/>
  <c r="A1095"/>
  <c r="C1095"/>
  <c r="D1095"/>
  <c r="E1095"/>
  <c r="F1095"/>
  <c r="A1138"/>
  <c r="C1138"/>
  <c r="D1138"/>
  <c r="E1138"/>
  <c r="F1138"/>
  <c r="A498"/>
  <c r="C498"/>
  <c r="D498"/>
  <c r="E498"/>
  <c r="F498"/>
  <c r="A1191"/>
  <c r="C1191"/>
  <c r="D1191"/>
  <c r="E1191"/>
  <c r="F1191"/>
  <c r="A187"/>
  <c r="C187"/>
  <c r="D187"/>
  <c r="E187"/>
  <c r="F187"/>
  <c r="A838"/>
  <c r="C838"/>
  <c r="D838"/>
  <c r="E838"/>
  <c r="F838"/>
  <c r="A173"/>
  <c r="C173"/>
  <c r="D173"/>
  <c r="E173"/>
  <c r="F173"/>
  <c r="A404"/>
  <c r="C404"/>
  <c r="D404"/>
  <c r="E404"/>
  <c r="F404"/>
  <c r="A457"/>
  <c r="C457"/>
  <c r="D457"/>
  <c r="E457"/>
  <c r="F457"/>
  <c r="A86"/>
  <c r="C86"/>
  <c r="D86"/>
  <c r="E86"/>
  <c r="F86"/>
  <c r="A926"/>
  <c r="C926"/>
  <c r="D926"/>
  <c r="E926"/>
  <c r="F926"/>
  <c r="A994"/>
  <c r="C994"/>
  <c r="D994"/>
  <c r="E994"/>
  <c r="F994"/>
  <c r="A816"/>
  <c r="C816"/>
  <c r="D816"/>
  <c r="E816"/>
  <c r="F816"/>
  <c r="A259"/>
  <c r="C259"/>
  <c r="D259"/>
  <c r="E259"/>
  <c r="F259"/>
  <c r="A937"/>
  <c r="C937"/>
  <c r="D937"/>
  <c r="E937"/>
  <c r="F937"/>
  <c r="A568"/>
  <c r="C568"/>
  <c r="D568"/>
  <c r="E568"/>
  <c r="F568"/>
  <c r="A1118"/>
  <c r="C1118"/>
  <c r="D1118"/>
  <c r="E1118"/>
  <c r="F1118"/>
  <c r="A1121"/>
  <c r="C1121"/>
  <c r="D1121"/>
  <c r="E1121"/>
  <c r="F1121"/>
  <c r="A622"/>
  <c r="C622"/>
  <c r="D622"/>
  <c r="E622"/>
  <c r="F622"/>
  <c r="A981"/>
  <c r="C981"/>
  <c r="D981"/>
  <c r="E981"/>
  <c r="F981"/>
  <c r="A211"/>
  <c r="C211"/>
  <c r="D211"/>
  <c r="E211"/>
  <c r="F211"/>
  <c r="A223"/>
  <c r="C223"/>
  <c r="D223"/>
  <c r="E223"/>
  <c r="F223"/>
  <c r="A1085"/>
  <c r="C1085"/>
  <c r="D1085"/>
  <c r="E1085"/>
  <c r="F1085"/>
  <c r="A771"/>
  <c r="C771"/>
  <c r="D771"/>
  <c r="E771"/>
  <c r="F771"/>
  <c r="A1221"/>
  <c r="C1221"/>
  <c r="D1221"/>
  <c r="E1221"/>
  <c r="F1221"/>
  <c r="A553"/>
  <c r="C553"/>
  <c r="D553"/>
  <c r="E553"/>
  <c r="F553"/>
  <c r="A306"/>
  <c r="C306"/>
  <c r="D306"/>
  <c r="E306"/>
  <c r="F306"/>
  <c r="A921"/>
  <c r="C921"/>
  <c r="D921"/>
  <c r="E921"/>
  <c r="F921"/>
  <c r="A611"/>
  <c r="C611"/>
  <c r="D611"/>
  <c r="E611"/>
  <c r="F611"/>
  <c r="A760"/>
  <c r="C760"/>
  <c r="D760"/>
  <c r="E760"/>
  <c r="F760"/>
  <c r="A532"/>
  <c r="C532"/>
  <c r="D532"/>
  <c r="E532"/>
  <c r="F532"/>
  <c r="A74"/>
  <c r="C74"/>
  <c r="D74"/>
  <c r="E74"/>
  <c r="F74"/>
  <c r="A166"/>
  <c r="C166"/>
  <c r="D166"/>
  <c r="E166"/>
  <c r="F166"/>
  <c r="A343"/>
  <c r="C343"/>
  <c r="D343"/>
  <c r="E343"/>
  <c r="F343"/>
  <c r="A1053"/>
  <c r="C1053"/>
  <c r="D1053"/>
  <c r="E1053"/>
  <c r="F1053"/>
  <c r="A425"/>
  <c r="C425"/>
  <c r="D425"/>
  <c r="E425"/>
  <c r="F425"/>
  <c r="A597"/>
  <c r="C597"/>
  <c r="D597"/>
  <c r="E597"/>
  <c r="F597"/>
  <c r="A573"/>
  <c r="C573"/>
  <c r="D573"/>
  <c r="E573"/>
  <c r="F573"/>
  <c r="A642"/>
  <c r="C642"/>
  <c r="D642"/>
  <c r="E642"/>
  <c r="F642"/>
  <c r="A889"/>
  <c r="C889"/>
  <c r="D889"/>
  <c r="E889"/>
  <c r="F889"/>
  <c r="A315"/>
  <c r="C315"/>
  <c r="D315"/>
  <c r="E315"/>
  <c r="F315"/>
  <c r="A119"/>
  <c r="C119"/>
  <c r="D119"/>
  <c r="E119"/>
  <c r="F119"/>
  <c r="A863"/>
  <c r="C863"/>
  <c r="D863"/>
  <c r="E863"/>
  <c r="F863"/>
  <c r="A749"/>
  <c r="C749"/>
  <c r="D749"/>
  <c r="E749"/>
  <c r="F749"/>
  <c r="A160"/>
  <c r="C160"/>
  <c r="D160"/>
  <c r="E160"/>
  <c r="F160"/>
  <c r="A79"/>
  <c r="C79"/>
  <c r="D79"/>
  <c r="E79"/>
  <c r="F79"/>
  <c r="A965"/>
  <c r="C965"/>
  <c r="D965"/>
  <c r="E965"/>
  <c r="F965"/>
  <c r="A116"/>
  <c r="C116"/>
  <c r="D116"/>
  <c r="E116"/>
  <c r="F116"/>
  <c r="A229"/>
  <c r="C229"/>
  <c r="D229"/>
  <c r="E229"/>
  <c r="F229"/>
  <c r="A226"/>
  <c r="C226"/>
  <c r="D226"/>
  <c r="E226"/>
  <c r="F226"/>
  <c r="A914"/>
  <c r="C914"/>
  <c r="D914"/>
  <c r="E914"/>
  <c r="F914"/>
  <c r="A1150"/>
  <c r="C1150"/>
  <c r="D1150"/>
  <c r="E1150"/>
  <c r="F1150"/>
  <c r="A192"/>
  <c r="C192"/>
  <c r="D192"/>
  <c r="E192"/>
  <c r="F192"/>
  <c r="A115"/>
  <c r="C115"/>
  <c r="D115"/>
  <c r="E115"/>
  <c r="F115"/>
  <c r="A485"/>
  <c r="C485"/>
  <c r="D485"/>
  <c r="E485"/>
  <c r="F485"/>
  <c r="A55"/>
  <c r="C55"/>
  <c r="D55"/>
  <c r="E55"/>
  <c r="F55"/>
  <c r="A352"/>
  <c r="C352"/>
  <c r="D352"/>
  <c r="E352"/>
  <c r="F352"/>
  <c r="A245"/>
  <c r="C245"/>
  <c r="D245"/>
  <c r="E245"/>
  <c r="F245"/>
  <c r="A452"/>
  <c r="C452"/>
  <c r="D452"/>
  <c r="E452"/>
  <c r="F452"/>
  <c r="A688"/>
  <c r="C688"/>
  <c r="D688"/>
  <c r="E688"/>
  <c r="F688"/>
  <c r="A1102"/>
  <c r="C1102"/>
  <c r="D1102"/>
  <c r="E1102"/>
  <c r="F1102"/>
  <c r="A337"/>
  <c r="C337"/>
  <c r="D337"/>
  <c r="E337"/>
  <c r="F337"/>
  <c r="A1189"/>
  <c r="C1189"/>
  <c r="D1189"/>
  <c r="E1189"/>
  <c r="F1189"/>
  <c r="A564"/>
  <c r="C564"/>
  <c r="D564"/>
  <c r="E564"/>
  <c r="F564"/>
  <c r="A340"/>
  <c r="C340"/>
  <c r="D340"/>
  <c r="E340"/>
  <c r="F340"/>
  <c r="A1016"/>
  <c r="C1016"/>
  <c r="D1016"/>
  <c r="E1016"/>
  <c r="F1016"/>
  <c r="A258"/>
  <c r="C258"/>
  <c r="D258"/>
  <c r="E258"/>
  <c r="F258"/>
  <c r="A155"/>
  <c r="C155"/>
  <c r="D155"/>
  <c r="E155"/>
  <c r="F155"/>
  <c r="A271"/>
  <c r="C271"/>
  <c r="D271"/>
  <c r="E271"/>
  <c r="F271"/>
  <c r="A797"/>
  <c r="C797"/>
  <c r="D797"/>
  <c r="E797"/>
  <c r="F797"/>
  <c r="A499"/>
  <c r="C499"/>
  <c r="D499"/>
  <c r="E499"/>
  <c r="F499"/>
  <c r="A189"/>
  <c r="C189"/>
  <c r="D189"/>
  <c r="E189"/>
  <c r="F189"/>
  <c r="A687"/>
  <c r="C687"/>
  <c r="D687"/>
  <c r="E687"/>
  <c r="F687"/>
  <c r="A427"/>
  <c r="C427"/>
  <c r="D427"/>
  <c r="E427"/>
  <c r="F427"/>
  <c r="A1107"/>
  <c r="C1107"/>
  <c r="D1107"/>
  <c r="E1107"/>
  <c r="F1107"/>
  <c r="A1103"/>
  <c r="C1103"/>
  <c r="D1103"/>
  <c r="E1103"/>
  <c r="F1103"/>
  <c r="A1205"/>
  <c r="C1205"/>
  <c r="D1205"/>
  <c r="E1205"/>
  <c r="F1205"/>
  <c r="A1154"/>
  <c r="C1154"/>
  <c r="D1154"/>
  <c r="E1154"/>
  <c r="F1154"/>
  <c r="A633"/>
  <c r="C633"/>
  <c r="D633"/>
  <c r="E633"/>
  <c r="F633"/>
  <c r="A661"/>
  <c r="C661"/>
  <c r="D661"/>
  <c r="E661"/>
  <c r="F661"/>
  <c r="A672"/>
  <c r="C672"/>
  <c r="D672"/>
  <c r="E672"/>
  <c r="F672"/>
  <c r="A1176"/>
  <c r="C1176"/>
  <c r="D1176"/>
  <c r="E1176"/>
  <c r="F1176"/>
  <c r="A307"/>
  <c r="C307"/>
  <c r="D307"/>
  <c r="E307"/>
  <c r="F307"/>
  <c r="A64"/>
  <c r="C64"/>
  <c r="D64"/>
  <c r="E64"/>
  <c r="F64"/>
  <c r="A348"/>
  <c r="C348"/>
  <c r="D348"/>
  <c r="E348"/>
  <c r="F348"/>
  <c r="A108"/>
  <c r="C108"/>
  <c r="D108"/>
  <c r="E108"/>
  <c r="F108"/>
  <c r="A68"/>
  <c r="C68"/>
  <c r="D68"/>
  <c r="E68"/>
  <c r="F68"/>
  <c r="A817"/>
  <c r="C817"/>
  <c r="D817"/>
  <c r="E817"/>
  <c r="F817"/>
  <c r="A293"/>
  <c r="C293"/>
  <c r="D293"/>
  <c r="E293"/>
  <c r="F293"/>
  <c r="A361"/>
  <c r="C361"/>
  <c r="D361"/>
  <c r="E361"/>
  <c r="F361"/>
  <c r="A882"/>
  <c r="C882"/>
  <c r="D882"/>
  <c r="E882"/>
  <c r="F882"/>
  <c r="A962"/>
  <c r="C962"/>
  <c r="D962"/>
  <c r="E962"/>
  <c r="F962"/>
  <c r="A367"/>
  <c r="C367"/>
  <c r="D367"/>
  <c r="E367"/>
  <c r="F367"/>
  <c r="A113"/>
  <c r="C113"/>
  <c r="D113"/>
  <c r="E113"/>
  <c r="F113"/>
  <c r="A1145"/>
  <c r="C1145"/>
  <c r="D1145"/>
  <c r="E1145"/>
  <c r="F1145"/>
  <c r="A162"/>
  <c r="C162"/>
  <c r="D162"/>
  <c r="E162"/>
  <c r="F162"/>
  <c r="A125"/>
  <c r="C125"/>
  <c r="D125"/>
  <c r="E125"/>
  <c r="F125"/>
  <c r="A961"/>
  <c r="C961"/>
  <c r="D961"/>
  <c r="E961"/>
  <c r="F961"/>
  <c r="A774"/>
  <c r="C774"/>
  <c r="D774"/>
  <c r="E774"/>
  <c r="F774"/>
  <c r="A751"/>
  <c r="C751"/>
  <c r="D751"/>
  <c r="E751"/>
  <c r="F751"/>
  <c r="A368"/>
  <c r="C368"/>
  <c r="D368"/>
  <c r="E368"/>
  <c r="F368"/>
  <c r="A1155"/>
  <c r="C1155"/>
  <c r="D1155"/>
  <c r="E1155"/>
  <c r="F1155"/>
  <c r="A842"/>
  <c r="C842"/>
  <c r="D842"/>
  <c r="E842"/>
  <c r="F842"/>
  <c r="A525"/>
  <c r="C525"/>
  <c r="D525"/>
  <c r="E525"/>
  <c r="F525"/>
  <c r="A533"/>
  <c r="C533"/>
  <c r="D533"/>
  <c r="E533"/>
  <c r="F533"/>
  <c r="A803"/>
  <c r="C803"/>
  <c r="D803"/>
  <c r="E803"/>
  <c r="F803"/>
  <c r="A528"/>
  <c r="C528"/>
  <c r="D528"/>
  <c r="E528"/>
  <c r="F528"/>
  <c r="A1158"/>
  <c r="C1158"/>
  <c r="D1158"/>
  <c r="E1158"/>
  <c r="F1158"/>
  <c r="A617"/>
  <c r="C617"/>
  <c r="D617"/>
  <c r="E617"/>
  <c r="F617"/>
  <c r="A272"/>
  <c r="C272"/>
  <c r="D272"/>
  <c r="E272"/>
  <c r="F272"/>
  <c r="A285"/>
  <c r="C285"/>
  <c r="D285"/>
  <c r="E285"/>
  <c r="F285"/>
  <c r="A37"/>
  <c r="C37"/>
  <c r="D37"/>
  <c r="E37"/>
  <c r="F37"/>
  <c r="A971"/>
  <c r="C971"/>
  <c r="D971"/>
  <c r="E971"/>
  <c r="F971"/>
  <c r="A1097"/>
  <c r="C1097"/>
  <c r="D1097"/>
  <c r="E1097"/>
  <c r="F1097"/>
  <c r="A221"/>
  <c r="C221"/>
  <c r="D221"/>
  <c r="E221"/>
  <c r="F221"/>
  <c r="A408"/>
  <c r="C408"/>
  <c r="D408"/>
  <c r="E408"/>
  <c r="F408"/>
  <c r="A1036"/>
  <c r="C1036"/>
  <c r="D1036"/>
  <c r="E1036"/>
  <c r="F1036"/>
  <c r="A880"/>
  <c r="C880"/>
  <c r="D880"/>
  <c r="E880"/>
  <c r="F880"/>
  <c r="A975"/>
  <c r="C975"/>
  <c r="D975"/>
  <c r="E975"/>
  <c r="F975"/>
  <c r="A750"/>
  <c r="C750"/>
  <c r="D750"/>
  <c r="E750"/>
  <c r="F750"/>
  <c r="A36"/>
  <c r="C36"/>
  <c r="D36"/>
  <c r="E36"/>
  <c r="F36"/>
  <c r="A523"/>
  <c r="C523"/>
  <c r="D523"/>
  <c r="E523"/>
  <c r="F523"/>
  <c r="A73"/>
  <c r="C73"/>
  <c r="D73"/>
  <c r="E73"/>
  <c r="F73"/>
  <c r="A181"/>
  <c r="C181"/>
  <c r="D181"/>
  <c r="E181"/>
  <c r="F181"/>
  <c r="A769"/>
  <c r="C769"/>
  <c r="D769"/>
  <c r="E769"/>
  <c r="F769"/>
  <c r="A1131"/>
  <c r="C1131"/>
  <c r="D1131"/>
  <c r="E1131"/>
  <c r="F1131"/>
  <c r="A101"/>
  <c r="C101"/>
  <c r="D101"/>
  <c r="E101"/>
  <c r="F101"/>
  <c r="A1067"/>
  <c r="C1067"/>
  <c r="D1067"/>
  <c r="E1067"/>
  <c r="F1067"/>
  <c r="A825"/>
  <c r="C825"/>
  <c r="D825"/>
  <c r="E825"/>
  <c r="F825"/>
  <c r="A383"/>
  <c r="C383"/>
  <c r="D383"/>
  <c r="E383"/>
  <c r="F383"/>
  <c r="A792"/>
  <c r="C792"/>
  <c r="D792"/>
  <c r="E792"/>
  <c r="F792"/>
  <c r="A344"/>
  <c r="C344"/>
  <c r="D344"/>
  <c r="E344"/>
  <c r="F344"/>
  <c r="A105"/>
  <c r="C105"/>
  <c r="D105"/>
  <c r="E105"/>
  <c r="F105"/>
  <c r="A979"/>
  <c r="C979"/>
  <c r="D979"/>
  <c r="E979"/>
  <c r="F979"/>
  <c r="A126"/>
  <c r="C126"/>
  <c r="D126"/>
  <c r="E126"/>
  <c r="F126"/>
  <c r="A843"/>
  <c r="C843"/>
  <c r="D843"/>
  <c r="E843"/>
  <c r="F843"/>
  <c r="A140"/>
  <c r="C140"/>
  <c r="D140"/>
  <c r="E140"/>
  <c r="F140"/>
  <c r="A134"/>
  <c r="C134"/>
  <c r="D134"/>
  <c r="E134"/>
  <c r="F134"/>
  <c r="A93"/>
  <c r="C93"/>
  <c r="D93"/>
  <c r="E93"/>
  <c r="F93"/>
  <c r="A310"/>
  <c r="C310"/>
  <c r="D310"/>
  <c r="E310"/>
  <c r="F310"/>
  <c r="A627"/>
  <c r="C627"/>
  <c r="D627"/>
  <c r="E627"/>
  <c r="F627"/>
  <c r="A791"/>
  <c r="C791"/>
  <c r="D791"/>
  <c r="E791"/>
  <c r="F791"/>
  <c r="A43"/>
  <c r="C43"/>
  <c r="D43"/>
  <c r="E43"/>
  <c r="F43"/>
  <c r="A224"/>
  <c r="C224"/>
  <c r="D224"/>
  <c r="E224"/>
  <c r="F224"/>
  <c r="A195"/>
  <c r="C195"/>
  <c r="D195"/>
  <c r="E195"/>
  <c r="F195"/>
  <c r="A8"/>
  <c r="C8"/>
  <c r="D8"/>
  <c r="E8"/>
  <c r="F8"/>
  <c r="A855"/>
  <c r="C855"/>
  <c r="D855"/>
  <c r="E855"/>
  <c r="F855"/>
  <c r="A847"/>
  <c r="C847"/>
  <c r="D847"/>
  <c r="E847"/>
  <c r="F847"/>
  <c r="A1197"/>
  <c r="C1197"/>
  <c r="D1197"/>
  <c r="E1197"/>
  <c r="F1197"/>
  <c r="A504"/>
  <c r="C504"/>
  <c r="D504"/>
  <c r="E504"/>
  <c r="F504"/>
  <c r="A1093"/>
  <c r="C1093"/>
  <c r="D1093"/>
  <c r="E1093"/>
  <c r="F1093"/>
  <c r="A1079"/>
  <c r="C1079"/>
  <c r="D1079"/>
  <c r="E1079"/>
  <c r="F1079"/>
  <c r="A387"/>
  <c r="C387"/>
  <c r="D387"/>
  <c r="E387"/>
  <c r="F387"/>
  <c r="A286"/>
  <c r="C286"/>
  <c r="D286"/>
  <c r="E286"/>
  <c r="F286"/>
  <c r="A927"/>
  <c r="C927"/>
  <c r="D927"/>
  <c r="E927"/>
  <c r="F927"/>
  <c r="A1020"/>
  <c r="C1020"/>
  <c r="D1020"/>
  <c r="E1020"/>
  <c r="F1020"/>
  <c r="A879"/>
  <c r="C879"/>
  <c r="D879"/>
  <c r="E879"/>
  <c r="F879"/>
  <c r="A1029"/>
  <c r="C1029"/>
  <c r="D1029"/>
  <c r="E1029"/>
  <c r="F1029"/>
  <c r="A804"/>
  <c r="C804"/>
  <c r="D804"/>
  <c r="E804"/>
  <c r="F804"/>
  <c r="A1175"/>
  <c r="C1175"/>
  <c r="D1175"/>
  <c r="E1175"/>
  <c r="F1175"/>
  <c r="A781"/>
  <c r="C781"/>
  <c r="D781"/>
  <c r="E781"/>
  <c r="F781"/>
  <c r="A752"/>
  <c r="C752"/>
  <c r="D752"/>
  <c r="E752"/>
  <c r="F752"/>
  <c r="A434"/>
  <c r="C434"/>
  <c r="D434"/>
  <c r="E434"/>
  <c r="F434"/>
  <c r="A969"/>
  <c r="C969"/>
  <c r="D969"/>
  <c r="E969"/>
  <c r="F969"/>
  <c r="A1188"/>
  <c r="C1188"/>
  <c r="D1188"/>
  <c r="E1188"/>
  <c r="F1188"/>
  <c r="A11"/>
  <c r="C11"/>
  <c r="D11"/>
  <c r="E11"/>
  <c r="F11"/>
  <c r="A127"/>
  <c r="C127"/>
  <c r="D127"/>
  <c r="E127"/>
  <c r="F127"/>
  <c r="A717"/>
  <c r="C717"/>
  <c r="D717"/>
  <c r="E717"/>
  <c r="F717"/>
  <c r="A374"/>
  <c r="C374"/>
  <c r="D374"/>
  <c r="E374"/>
  <c r="F374"/>
  <c r="A1078"/>
  <c r="C1078"/>
  <c r="D1078"/>
  <c r="E1078"/>
  <c r="F1078"/>
  <c r="A213"/>
  <c r="C213"/>
  <c r="D213"/>
  <c r="E213"/>
  <c r="F213"/>
  <c r="A834"/>
  <c r="C834"/>
  <c r="D834"/>
  <c r="E834"/>
  <c r="F834"/>
  <c r="A161"/>
  <c r="C161"/>
  <c r="D161"/>
  <c r="E161"/>
  <c r="F161"/>
  <c r="A156"/>
  <c r="C156"/>
  <c r="D156"/>
  <c r="E156"/>
  <c r="F156"/>
  <c r="A349"/>
  <c r="C349"/>
  <c r="D349"/>
  <c r="E349"/>
  <c r="F349"/>
  <c r="A228"/>
  <c r="C228"/>
  <c r="D228"/>
  <c r="E228"/>
  <c r="F228"/>
  <c r="A1116"/>
  <c r="C1116"/>
  <c r="D1116"/>
  <c r="E1116"/>
  <c r="F1116"/>
  <c r="A610"/>
  <c r="C610"/>
  <c r="D610"/>
  <c r="E610"/>
  <c r="F610"/>
  <c r="A666"/>
  <c r="C666"/>
  <c r="D666"/>
  <c r="E666"/>
  <c r="F666"/>
  <c r="A1157"/>
  <c r="C1157"/>
  <c r="D1157"/>
  <c r="E1157"/>
  <c r="F1157"/>
  <c r="A790"/>
  <c r="C790"/>
  <c r="D790"/>
  <c r="E790"/>
  <c r="F790"/>
  <c r="A114"/>
  <c r="C114"/>
  <c r="D114"/>
  <c r="E114"/>
  <c r="F114"/>
  <c r="A793"/>
  <c r="C793"/>
  <c r="D793"/>
  <c r="E793"/>
  <c r="F793"/>
  <c r="A599"/>
  <c r="C599"/>
  <c r="D599"/>
  <c r="E599"/>
  <c r="F599"/>
  <c r="A795"/>
  <c r="C795"/>
  <c r="D795"/>
  <c r="E795"/>
  <c r="F795"/>
  <c r="A278"/>
  <c r="C278"/>
  <c r="D278"/>
  <c r="E278"/>
  <c r="F278"/>
  <c r="A169"/>
  <c r="C169"/>
  <c r="D169"/>
  <c r="E169"/>
  <c r="F169"/>
  <c r="A1035"/>
  <c r="C1035"/>
  <c r="D1035"/>
  <c r="E1035"/>
  <c r="F1035"/>
  <c r="A820"/>
  <c r="C820"/>
  <c r="D820"/>
  <c r="E820"/>
  <c r="F820"/>
  <c r="A117"/>
  <c r="C117"/>
  <c r="D117"/>
  <c r="E117"/>
  <c r="F117"/>
  <c r="A1074"/>
  <c r="C1074"/>
  <c r="D1074"/>
  <c r="E1074"/>
  <c r="F1074"/>
  <c r="A581"/>
  <c r="C581"/>
  <c r="D581"/>
  <c r="E581"/>
  <c r="F581"/>
  <c r="A744"/>
  <c r="C744"/>
  <c r="D744"/>
  <c r="E744"/>
  <c r="F744"/>
  <c r="A598"/>
  <c r="C598"/>
  <c r="D598"/>
  <c r="E598"/>
  <c r="F598"/>
  <c r="A59"/>
  <c r="C59"/>
  <c r="D59"/>
  <c r="E59"/>
  <c r="F59"/>
  <c r="A5"/>
  <c r="C5"/>
  <c r="D5"/>
  <c r="E5"/>
  <c r="F5"/>
  <c r="A336"/>
  <c r="C336"/>
  <c r="D336"/>
  <c r="E336"/>
  <c r="F336"/>
  <c r="A810"/>
  <c r="C810"/>
  <c r="D810"/>
  <c r="E810"/>
  <c r="F810"/>
  <c r="A237"/>
  <c r="C237"/>
  <c r="D237"/>
  <c r="E237"/>
  <c r="F237"/>
  <c r="A982"/>
  <c r="C982"/>
  <c r="D982"/>
  <c r="E982"/>
  <c r="F982"/>
  <c r="A266"/>
  <c r="C266"/>
  <c r="D266"/>
  <c r="E266"/>
  <c r="F266"/>
  <c r="A1184"/>
  <c r="C1184"/>
  <c r="D1184"/>
  <c r="E1184"/>
  <c r="F1184"/>
  <c r="A780"/>
  <c r="C780"/>
  <c r="D780"/>
  <c r="E780"/>
  <c r="F780"/>
  <c r="A741"/>
  <c r="C741"/>
  <c r="D741"/>
  <c r="E741"/>
  <c r="F741"/>
  <c r="A360"/>
  <c r="C360"/>
  <c r="D360"/>
  <c r="E360"/>
  <c r="F360"/>
  <c r="A392"/>
  <c r="C392"/>
  <c r="D392"/>
  <c r="E392"/>
  <c r="F392"/>
  <c r="A302"/>
  <c r="C302"/>
  <c r="D302"/>
  <c r="E302"/>
  <c r="F302"/>
  <c r="A191"/>
  <c r="C191"/>
  <c r="D191"/>
  <c r="E191"/>
  <c r="F191"/>
  <c r="A828"/>
  <c r="C828"/>
  <c r="D828"/>
  <c r="E828"/>
  <c r="F828"/>
  <c r="A118"/>
  <c r="C118"/>
  <c r="D118"/>
  <c r="E118"/>
  <c r="F118"/>
  <c r="A1167"/>
  <c r="C1167"/>
  <c r="D1167"/>
  <c r="E1167"/>
  <c r="F1167"/>
  <c r="A945"/>
  <c r="C945"/>
  <c r="D945"/>
  <c r="E945"/>
  <c r="F945"/>
  <c r="A1135"/>
  <c r="C1135"/>
  <c r="D1135"/>
  <c r="E1135"/>
  <c r="F1135"/>
  <c r="A436"/>
  <c r="C436"/>
  <c r="D436"/>
  <c r="E436"/>
  <c r="F436"/>
  <c r="A839"/>
  <c r="C839"/>
  <c r="D839"/>
  <c r="E839"/>
  <c r="F839"/>
  <c r="A631"/>
  <c r="C631"/>
  <c r="D631"/>
  <c r="E631"/>
  <c r="F631"/>
  <c r="A398"/>
  <c r="C398"/>
  <c r="D398"/>
  <c r="E398"/>
  <c r="F398"/>
  <c r="A730"/>
  <c r="C730"/>
  <c r="D730"/>
  <c r="E730"/>
  <c r="F730"/>
  <c r="A928"/>
  <c r="C928"/>
  <c r="D928"/>
  <c r="E928"/>
  <c r="F928"/>
  <c r="A1109"/>
  <c r="C1109"/>
  <c r="D1109"/>
  <c r="E1109"/>
  <c r="F1109"/>
  <c r="A865"/>
  <c r="C865"/>
  <c r="D865"/>
  <c r="E865"/>
  <c r="F865"/>
  <c r="A151"/>
  <c r="C151"/>
  <c r="D151"/>
  <c r="E151"/>
  <c r="F151"/>
  <c r="A1014"/>
  <c r="C1014"/>
  <c r="D1014"/>
  <c r="E1014"/>
  <c r="F1014"/>
  <c r="A1212"/>
  <c r="C1212"/>
  <c r="D1212"/>
  <c r="E1212"/>
  <c r="F1212"/>
  <c r="A1061"/>
  <c r="C1061"/>
  <c r="D1061"/>
  <c r="E1061"/>
  <c r="F1061"/>
  <c r="A936"/>
  <c r="C936"/>
  <c r="D936"/>
  <c r="E936"/>
  <c r="F936"/>
  <c r="A1010"/>
  <c r="C1010"/>
  <c r="D1010"/>
  <c r="E1010"/>
  <c r="F1010"/>
  <c r="A322"/>
  <c r="C322"/>
  <c r="D322"/>
  <c r="E322"/>
  <c r="F322"/>
  <c r="A1213"/>
  <c r="C1213"/>
  <c r="D1213"/>
  <c r="E1213"/>
  <c r="F1213"/>
  <c r="A1124"/>
  <c r="C1124"/>
  <c r="D1124"/>
  <c r="E1124"/>
  <c r="F1124"/>
  <c r="A1080"/>
  <c r="C1080"/>
  <c r="D1080"/>
  <c r="E1080"/>
  <c r="F1080"/>
  <c r="A1042"/>
  <c r="C1042"/>
  <c r="D1042"/>
  <c r="E1042"/>
  <c r="F1042"/>
  <c r="A95"/>
  <c r="C95"/>
  <c r="D95"/>
  <c r="E95"/>
  <c r="F95"/>
  <c r="A199"/>
  <c r="C199"/>
  <c r="D199"/>
  <c r="E199"/>
  <c r="F199"/>
  <c r="A591"/>
  <c r="C591"/>
  <c r="D591"/>
  <c r="E591"/>
  <c r="F591"/>
  <c r="A1037"/>
  <c r="C1037"/>
  <c r="D1037"/>
  <c r="E1037"/>
  <c r="F1037"/>
  <c r="A21"/>
  <c r="C21"/>
  <c r="D21"/>
  <c r="E21"/>
  <c r="F21"/>
  <c r="A634"/>
  <c r="C634"/>
  <c r="D634"/>
  <c r="E634"/>
  <c r="F634"/>
  <c r="A198"/>
  <c r="C198"/>
  <c r="D198"/>
  <c r="E198"/>
  <c r="F198"/>
  <c r="A20"/>
  <c r="C20"/>
  <c r="D20"/>
  <c r="E20"/>
  <c r="F20"/>
  <c r="A437"/>
  <c r="C437"/>
  <c r="D437"/>
  <c r="E437"/>
  <c r="F437"/>
  <c r="A821"/>
  <c r="C821"/>
  <c r="D821"/>
  <c r="E821"/>
  <c r="F821"/>
  <c r="A1013"/>
  <c r="C1013"/>
  <c r="D1013"/>
  <c r="E1013"/>
  <c r="F1013"/>
  <c r="A602"/>
  <c r="C602"/>
  <c r="D602"/>
  <c r="E602"/>
  <c r="F602"/>
  <c r="A620"/>
  <c r="C620"/>
  <c r="D620"/>
  <c r="E620"/>
  <c r="F620"/>
  <c r="A802"/>
  <c r="C802"/>
  <c r="D802"/>
  <c r="E802"/>
  <c r="F802"/>
  <c r="A938"/>
  <c r="C938"/>
  <c r="D938"/>
  <c r="E938"/>
  <c r="F938"/>
  <c r="A444"/>
  <c r="C444"/>
  <c r="D444"/>
  <c r="E444"/>
  <c r="F444"/>
  <c r="A1050"/>
  <c r="C1050"/>
  <c r="D1050"/>
  <c r="E1050"/>
  <c r="F1050"/>
  <c r="A247"/>
  <c r="C247"/>
  <c r="D247"/>
  <c r="E247"/>
  <c r="F247"/>
  <c r="A691"/>
  <c r="C691"/>
  <c r="D691"/>
  <c r="E691"/>
  <c r="F691"/>
  <c r="A459"/>
  <c r="C459"/>
  <c r="D459"/>
  <c r="E459"/>
  <c r="F459"/>
  <c r="A641"/>
  <c r="C641"/>
  <c r="D641"/>
  <c r="E641"/>
  <c r="F641"/>
  <c r="A326"/>
  <c r="C326"/>
  <c r="D326"/>
  <c r="E326"/>
  <c r="F326"/>
  <c r="A231"/>
  <c r="C231"/>
  <c r="D231"/>
  <c r="E231"/>
  <c r="F231"/>
  <c r="A1165"/>
  <c r="C1165"/>
  <c r="D1165"/>
  <c r="E1165"/>
  <c r="F1165"/>
  <c r="A154"/>
  <c r="C154"/>
  <c r="D154"/>
  <c r="E154"/>
  <c r="F154"/>
  <c r="A541"/>
  <c r="C541"/>
  <c r="D541"/>
  <c r="E541"/>
  <c r="F541"/>
  <c r="A574"/>
  <c r="C574"/>
  <c r="D574"/>
  <c r="E574"/>
  <c r="F574"/>
  <c r="A742"/>
  <c r="C742"/>
  <c r="D742"/>
  <c r="E742"/>
  <c r="F742"/>
  <c r="A1006"/>
  <c r="C1006"/>
  <c r="D1006"/>
  <c r="E1006"/>
  <c r="F1006"/>
  <c r="A342"/>
  <c r="C342"/>
  <c r="D342"/>
  <c r="E342"/>
  <c r="F342"/>
  <c r="A1170"/>
  <c r="C1170"/>
  <c r="D1170"/>
  <c r="E1170"/>
  <c r="F1170"/>
  <c r="A626"/>
  <c r="C626"/>
  <c r="D626"/>
  <c r="E626"/>
  <c r="F626"/>
  <c r="A609"/>
  <c r="C609"/>
  <c r="D609"/>
  <c r="E609"/>
  <c r="F609"/>
  <c r="A996"/>
  <c r="C996"/>
  <c r="D996"/>
  <c r="E996"/>
  <c r="F996"/>
  <c r="A1041"/>
  <c r="C1041"/>
  <c r="D1041"/>
  <c r="E1041"/>
  <c r="F1041"/>
  <c r="A1186"/>
  <c r="C1186"/>
  <c r="D1186"/>
  <c r="E1186"/>
  <c r="F1186"/>
  <c r="A220"/>
  <c r="C220"/>
  <c r="D220"/>
  <c r="E220"/>
  <c r="F220"/>
  <c r="A1114"/>
  <c r="C1114"/>
  <c r="D1114"/>
  <c r="E1114"/>
  <c r="F1114"/>
  <c r="A1115"/>
  <c r="C1115"/>
  <c r="D1115"/>
  <c r="E1115"/>
  <c r="F1115"/>
  <c r="A723"/>
  <c r="C723"/>
  <c r="D723"/>
  <c r="E723"/>
  <c r="F723"/>
  <c r="A71"/>
  <c r="C71"/>
  <c r="D71"/>
  <c r="E71"/>
  <c r="F71"/>
  <c r="A328"/>
  <c r="C328"/>
  <c r="D328"/>
  <c r="E328"/>
  <c r="F328"/>
  <c r="A1064"/>
  <c r="C1064"/>
  <c r="D1064"/>
  <c r="E1064"/>
  <c r="F1064"/>
  <c r="A1065"/>
  <c r="C1065"/>
  <c r="D1065"/>
  <c r="E1065"/>
  <c r="F1065"/>
  <c r="A637"/>
  <c r="C637"/>
  <c r="D637"/>
  <c r="E637"/>
  <c r="F637"/>
  <c r="A324"/>
  <c r="C324"/>
  <c r="D324"/>
  <c r="E324"/>
  <c r="F324"/>
  <c r="A354"/>
  <c r="C354"/>
  <c r="D354"/>
  <c r="E354"/>
  <c r="F354"/>
  <c r="A177"/>
  <c r="C177"/>
  <c r="D177"/>
  <c r="E177"/>
  <c r="F177"/>
  <c r="A859"/>
  <c r="C859"/>
  <c r="D859"/>
  <c r="E859"/>
  <c r="F859"/>
  <c r="A648"/>
  <c r="C648"/>
  <c r="D648"/>
  <c r="E648"/>
  <c r="F648"/>
  <c r="A40"/>
  <c r="C40"/>
  <c r="D40"/>
  <c r="E40"/>
  <c r="F40"/>
  <c r="A986"/>
  <c r="C986"/>
  <c r="D986"/>
  <c r="E986"/>
  <c r="F986"/>
  <c r="A333"/>
  <c r="C333"/>
  <c r="D333"/>
  <c r="E333"/>
  <c r="F333"/>
  <c r="A739"/>
  <c r="C739"/>
  <c r="D739"/>
  <c r="E739"/>
  <c r="F739"/>
  <c r="A1092"/>
  <c r="C1092"/>
  <c r="D1092"/>
  <c r="E1092"/>
  <c r="F1092"/>
  <c r="A869"/>
  <c r="C869"/>
  <c r="D869"/>
  <c r="E869"/>
  <c r="F869"/>
  <c r="A709"/>
  <c r="C709"/>
  <c r="D709"/>
  <c r="E709"/>
  <c r="F709"/>
  <c r="A1202"/>
  <c r="C1202"/>
  <c r="D1202"/>
  <c r="E1202"/>
  <c r="F1202"/>
  <c r="A308"/>
  <c r="C308"/>
  <c r="D308"/>
  <c r="E308"/>
  <c r="F308"/>
  <c r="A772"/>
  <c r="C772"/>
  <c r="D772"/>
  <c r="E772"/>
  <c r="F772"/>
  <c r="A674"/>
  <c r="C674"/>
  <c r="D674"/>
  <c r="E674"/>
  <c r="F674"/>
  <c r="A756"/>
  <c r="C756"/>
  <c r="D756"/>
  <c r="E756"/>
  <c r="F756"/>
  <c r="A946"/>
  <c r="C946"/>
  <c r="D946"/>
  <c r="E946"/>
  <c r="F946"/>
  <c r="A788"/>
  <c r="C788"/>
  <c r="D788"/>
  <c r="E788"/>
  <c r="F788"/>
  <c r="A505"/>
  <c r="C505"/>
  <c r="D505"/>
  <c r="E505"/>
  <c r="F505"/>
  <c r="A957"/>
  <c r="C957"/>
  <c r="D957"/>
  <c r="E957"/>
  <c r="F957"/>
  <c r="A840"/>
  <c r="C840"/>
  <c r="D840"/>
  <c r="E840"/>
  <c r="F840"/>
  <c r="A940"/>
  <c r="C940"/>
  <c r="D940"/>
  <c r="E940"/>
  <c r="F940"/>
  <c r="A552"/>
  <c r="C552"/>
  <c r="D552"/>
  <c r="E552"/>
  <c r="F552"/>
  <c r="A1055"/>
  <c r="C1055"/>
  <c r="D1055"/>
  <c r="E1055"/>
  <c r="F1055"/>
  <c r="A991"/>
  <c r="C991"/>
  <c r="D991"/>
  <c r="E991"/>
  <c r="F991"/>
  <c r="A206"/>
  <c r="C206"/>
  <c r="D206"/>
  <c r="E206"/>
  <c r="F206"/>
  <c r="A479"/>
  <c r="C479"/>
  <c r="D479"/>
  <c r="E479"/>
  <c r="F479"/>
  <c r="A399"/>
  <c r="C399"/>
  <c r="D399"/>
  <c r="E399"/>
  <c r="F399"/>
  <c r="A826"/>
  <c r="C826"/>
  <c r="D826"/>
  <c r="E826"/>
  <c r="F826"/>
  <c r="A407"/>
  <c r="C407"/>
  <c r="D407"/>
  <c r="E407"/>
  <c r="F407"/>
  <c r="A449"/>
  <c r="C449"/>
  <c r="D449"/>
  <c r="E449"/>
  <c r="F449"/>
  <c r="A862"/>
  <c r="C862"/>
  <c r="D862"/>
  <c r="E862"/>
  <c r="F862"/>
  <c r="A696"/>
  <c r="C696"/>
  <c r="D696"/>
  <c r="E696"/>
  <c r="F696"/>
  <c r="A894"/>
  <c r="C894"/>
  <c r="D894"/>
  <c r="E894"/>
  <c r="F894"/>
  <c r="A560"/>
  <c r="C560"/>
  <c r="D560"/>
  <c r="E560"/>
  <c r="F560"/>
  <c r="A595"/>
  <c r="C595"/>
  <c r="D595"/>
  <c r="E595"/>
  <c r="F595"/>
  <c r="A1151"/>
  <c r="C1151"/>
  <c r="D1151"/>
  <c r="E1151"/>
  <c r="F1151"/>
  <c r="A805"/>
  <c r="C805"/>
  <c r="D805"/>
  <c r="E805"/>
  <c r="F805"/>
  <c r="A395"/>
  <c r="C395"/>
  <c r="D395"/>
  <c r="E395"/>
  <c r="F395"/>
  <c r="A257"/>
  <c r="C257"/>
  <c r="D257"/>
  <c r="E257"/>
  <c r="F257"/>
  <c r="A7"/>
  <c r="C7"/>
  <c r="D7"/>
  <c r="E7"/>
  <c r="F7"/>
  <c r="A295"/>
  <c r="C295"/>
  <c r="D295"/>
  <c r="E295"/>
  <c r="F295"/>
  <c r="A405"/>
  <c r="C405"/>
  <c r="D405"/>
  <c r="E405"/>
  <c r="F405"/>
  <c r="A250"/>
  <c r="C250"/>
  <c r="D250"/>
  <c r="E250"/>
  <c r="F250"/>
  <c r="A1049"/>
  <c r="C1049"/>
  <c r="D1049"/>
  <c r="E1049"/>
  <c r="F1049"/>
  <c r="A747"/>
  <c r="C747"/>
  <c r="D747"/>
  <c r="E747"/>
  <c r="F747"/>
  <c r="A689"/>
  <c r="C689"/>
  <c r="D689"/>
  <c r="E689"/>
  <c r="F689"/>
  <c r="A1071"/>
  <c r="C1071"/>
  <c r="D1071"/>
  <c r="E1071"/>
  <c r="F1071"/>
  <c r="A540"/>
  <c r="C540"/>
  <c r="D540"/>
  <c r="E540"/>
  <c r="F540"/>
  <c r="A799"/>
  <c r="C799"/>
  <c r="D799"/>
  <c r="E799"/>
  <c r="F799"/>
  <c r="A977"/>
  <c r="C977"/>
  <c r="D977"/>
  <c r="E977"/>
  <c r="F977"/>
  <c r="A625"/>
  <c r="C625"/>
  <c r="D625"/>
  <c r="E625"/>
  <c r="F625"/>
  <c r="A267"/>
  <c r="C267"/>
  <c r="D267"/>
  <c r="E267"/>
  <c r="F267"/>
  <c r="A350"/>
  <c r="C350"/>
  <c r="D350"/>
  <c r="E350"/>
  <c r="F350"/>
  <c r="A507"/>
  <c r="C507"/>
  <c r="D507"/>
  <c r="E507"/>
  <c r="F507"/>
  <c r="A255"/>
  <c r="C255"/>
  <c r="D255"/>
  <c r="E255"/>
  <c r="F255"/>
  <c r="A800"/>
  <c r="C800"/>
  <c r="D800"/>
  <c r="E800"/>
  <c r="F800"/>
  <c r="A978"/>
  <c r="C978"/>
  <c r="D978"/>
  <c r="E978"/>
  <c r="F978"/>
  <c r="A832"/>
  <c r="C832"/>
  <c r="D832"/>
  <c r="E832"/>
  <c r="F832"/>
  <c r="A1005"/>
  <c r="C1005"/>
  <c r="D1005"/>
  <c r="E1005"/>
  <c r="F1005"/>
  <c r="A878"/>
  <c r="C878"/>
  <c r="D878"/>
  <c r="E878"/>
  <c r="F878"/>
  <c r="A916"/>
  <c r="C916"/>
  <c r="D916"/>
  <c r="E916"/>
  <c r="F916"/>
  <c r="A200"/>
  <c r="C200"/>
  <c r="D200"/>
  <c r="E200"/>
  <c r="F200"/>
  <c r="A1187"/>
  <c r="C1187"/>
  <c r="D1187"/>
  <c r="E1187"/>
  <c r="F1187"/>
  <c r="A680"/>
  <c r="C680"/>
  <c r="D680"/>
  <c r="E680"/>
  <c r="F680"/>
  <c r="A1040"/>
  <c r="C1040"/>
  <c r="D1040"/>
  <c r="E1040"/>
  <c r="F1040"/>
  <c r="A60"/>
  <c r="C60"/>
  <c r="D60"/>
  <c r="E60"/>
  <c r="F60"/>
  <c r="A252"/>
  <c r="C252"/>
  <c r="D252"/>
  <c r="E252"/>
  <c r="F252"/>
  <c r="A329"/>
  <c r="C329"/>
  <c r="D329"/>
  <c r="E329"/>
  <c r="F329"/>
  <c r="A440"/>
  <c r="C440"/>
  <c r="D440"/>
  <c r="E440"/>
  <c r="F440"/>
  <c r="A456"/>
  <c r="C456"/>
  <c r="D456"/>
  <c r="E456"/>
  <c r="F456"/>
  <c r="A858"/>
  <c r="C858"/>
  <c r="D858"/>
  <c r="E858"/>
  <c r="F858"/>
  <c r="A1174"/>
  <c r="C1174"/>
  <c r="D1174"/>
  <c r="E1174"/>
  <c r="F1174"/>
  <c r="A1128"/>
  <c r="C1128"/>
  <c r="D1128"/>
  <c r="E1128"/>
  <c r="F1128"/>
  <c r="A1000"/>
  <c r="C1000"/>
  <c r="D1000"/>
  <c r="E1000"/>
  <c r="F1000"/>
  <c r="A241"/>
  <c r="C241"/>
  <c r="D241"/>
  <c r="E241"/>
  <c r="F241"/>
  <c r="A1089"/>
  <c r="C1089"/>
  <c r="D1089"/>
  <c r="E1089"/>
  <c r="F1089"/>
  <c r="A727"/>
  <c r="C727"/>
  <c r="D727"/>
  <c r="E727"/>
  <c r="F727"/>
  <c r="A82"/>
  <c r="C82"/>
  <c r="D82"/>
  <c r="E82"/>
  <c r="F82"/>
  <c r="A1168"/>
  <c r="C1168"/>
  <c r="D1168"/>
  <c r="E1168"/>
  <c r="F1168"/>
  <c r="A376"/>
  <c r="C376"/>
  <c r="D376"/>
  <c r="E376"/>
  <c r="F376"/>
  <c r="A1142"/>
  <c r="C1142"/>
  <c r="D1142"/>
  <c r="E1142"/>
  <c r="F1142"/>
  <c r="A282"/>
  <c r="C282"/>
  <c r="D282"/>
  <c r="E282"/>
  <c r="F282"/>
  <c r="A204"/>
  <c r="C204"/>
  <c r="D204"/>
  <c r="E204"/>
  <c r="F204"/>
  <c r="A856"/>
  <c r="C856"/>
  <c r="D856"/>
  <c r="E856"/>
  <c r="F856"/>
  <c r="A107"/>
  <c r="C107"/>
  <c r="D107"/>
  <c r="E107"/>
  <c r="F107"/>
  <c r="A1051"/>
  <c r="C1051"/>
  <c r="D1051"/>
  <c r="E1051"/>
  <c r="F1051"/>
  <c r="A1220"/>
  <c r="C1220"/>
  <c r="D1220"/>
  <c r="E1220"/>
  <c r="F1220"/>
  <c r="A645"/>
  <c r="C645"/>
  <c r="D645"/>
  <c r="E645"/>
  <c r="F645"/>
  <c r="A670"/>
  <c r="C670"/>
  <c r="D670"/>
  <c r="E670"/>
  <c r="F670"/>
  <c r="A1112"/>
  <c r="C1112"/>
  <c r="D1112"/>
  <c r="E1112"/>
  <c r="F1112"/>
  <c r="A1177"/>
  <c r="C1177"/>
  <c r="D1177"/>
  <c r="E1177"/>
  <c r="F1177"/>
  <c r="A708"/>
  <c r="C708"/>
  <c r="D708"/>
  <c r="E708"/>
  <c r="F708"/>
  <c r="A572"/>
  <c r="C572"/>
  <c r="D572"/>
  <c r="E572"/>
  <c r="F572"/>
  <c r="A608"/>
  <c r="C608"/>
  <c r="D608"/>
  <c r="E608"/>
  <c r="F608"/>
  <c r="A813"/>
  <c r="C813"/>
  <c r="D813"/>
  <c r="E813"/>
  <c r="F813"/>
  <c r="A327"/>
  <c r="C327"/>
  <c r="D327"/>
  <c r="E327"/>
  <c r="F327"/>
  <c r="A1163"/>
  <c r="C1163"/>
  <c r="D1163"/>
  <c r="E1163"/>
  <c r="F1163"/>
  <c r="A919"/>
  <c r="C919"/>
  <c r="D919"/>
  <c r="E919"/>
  <c r="F919"/>
  <c r="A133"/>
  <c r="C133"/>
  <c r="D133"/>
  <c r="E133"/>
  <c r="F133"/>
  <c r="A1019"/>
  <c r="C1019"/>
  <c r="D1019"/>
  <c r="E1019"/>
  <c r="F1019"/>
  <c r="A13"/>
  <c r="C13"/>
  <c r="D13"/>
  <c r="E13"/>
  <c r="F13"/>
  <c r="A1015"/>
  <c r="C1015"/>
  <c r="D1015"/>
  <c r="E1015"/>
  <c r="F1015"/>
  <c r="A54"/>
  <c r="C54"/>
  <c r="D54"/>
  <c r="E54"/>
  <c r="F54"/>
  <c r="A1172"/>
  <c r="C1172"/>
  <c r="D1172"/>
  <c r="E1172"/>
  <c r="F1172"/>
  <c r="A935"/>
  <c r="C935"/>
  <c r="D935"/>
  <c r="E935"/>
  <c r="F935"/>
  <c r="A897"/>
  <c r="C897"/>
  <c r="D897"/>
  <c r="E897"/>
  <c r="F897"/>
  <c r="A1096"/>
  <c r="C1096"/>
  <c r="D1096"/>
  <c r="E1096"/>
  <c r="F1096"/>
  <c r="A438"/>
  <c r="C438"/>
  <c r="D438"/>
  <c r="E438"/>
  <c r="F438"/>
  <c r="A1140"/>
  <c r="C1140"/>
  <c r="D1140"/>
  <c r="E1140"/>
  <c r="F1140"/>
  <c r="A1217"/>
  <c r="C1217"/>
  <c r="D1217"/>
  <c r="E1217"/>
  <c r="F1217"/>
  <c r="A812"/>
  <c r="C812"/>
  <c r="D812"/>
  <c r="E812"/>
  <c r="F812"/>
  <c r="A414"/>
  <c r="C414"/>
  <c r="D414"/>
  <c r="E414"/>
  <c r="F414"/>
  <c r="A1169"/>
  <c r="C1169"/>
  <c r="D1169"/>
  <c r="E1169"/>
  <c r="F1169"/>
  <c r="A814"/>
  <c r="C814"/>
  <c r="D814"/>
  <c r="E814"/>
  <c r="F814"/>
  <c r="A915"/>
  <c r="C915"/>
  <c r="D915"/>
  <c r="E915"/>
  <c r="F915"/>
  <c r="A493"/>
  <c r="C493"/>
  <c r="D493"/>
  <c r="E493"/>
  <c r="F493"/>
  <c r="A796"/>
  <c r="C796"/>
  <c r="D796"/>
  <c r="E796"/>
  <c r="F796"/>
  <c r="A819"/>
  <c r="C819"/>
  <c r="D819"/>
  <c r="E819"/>
  <c r="F819"/>
  <c r="A583"/>
  <c r="C583"/>
  <c r="D583"/>
  <c r="E583"/>
  <c r="F583"/>
  <c r="A1200"/>
  <c r="C1200"/>
  <c r="D1200"/>
  <c r="E1200"/>
  <c r="F1200"/>
  <c r="A925"/>
  <c r="C925"/>
  <c r="D925"/>
  <c r="E925"/>
  <c r="F925"/>
  <c r="A144"/>
  <c r="C144"/>
  <c r="D144"/>
  <c r="E144"/>
  <c r="F144"/>
  <c r="A584"/>
  <c r="C584"/>
  <c r="D584"/>
  <c r="E584"/>
  <c r="F584"/>
  <c r="A967"/>
  <c r="C967"/>
  <c r="D967"/>
  <c r="E967"/>
  <c r="F967"/>
  <c r="A904"/>
  <c r="C904"/>
  <c r="D904"/>
  <c r="E904"/>
  <c r="F904"/>
  <c r="A18"/>
  <c r="C18"/>
  <c r="D18"/>
  <c r="E18"/>
  <c r="F18"/>
  <c r="A165"/>
  <c r="C165"/>
  <c r="D165"/>
  <c r="E165"/>
  <c r="F165"/>
  <c r="A1182"/>
  <c r="C1182"/>
  <c r="D1182"/>
  <c r="E1182"/>
  <c r="F1182"/>
  <c r="A49"/>
  <c r="C49"/>
  <c r="D49"/>
  <c r="E49"/>
  <c r="F49"/>
  <c r="A1117"/>
  <c r="C1117"/>
  <c r="D1117"/>
  <c r="E1117"/>
  <c r="F1117"/>
  <c r="A283"/>
  <c r="C283"/>
  <c r="D283"/>
  <c r="E283"/>
  <c r="F283"/>
  <c r="A932"/>
  <c r="C932"/>
  <c r="D932"/>
  <c r="E932"/>
  <c r="F932"/>
  <c r="A594"/>
  <c r="C594"/>
  <c r="D594"/>
  <c r="E594"/>
  <c r="F594"/>
  <c r="A1066"/>
  <c r="C1066"/>
  <c r="D1066"/>
  <c r="E1066"/>
  <c r="F1066"/>
  <c r="A1023"/>
  <c r="C1023"/>
  <c r="D1023"/>
  <c r="E1023"/>
  <c r="F1023"/>
  <c r="A401"/>
  <c r="C401"/>
  <c r="D401"/>
  <c r="E401"/>
  <c r="F401"/>
  <c r="A291"/>
  <c r="C291"/>
  <c r="D291"/>
  <c r="E291"/>
  <c r="F291"/>
  <c r="A782"/>
  <c r="C782"/>
  <c r="D782"/>
  <c r="E782"/>
  <c r="F782"/>
  <c r="A96"/>
  <c r="C96"/>
  <c r="D96"/>
  <c r="E96"/>
  <c r="F96"/>
  <c r="A716"/>
  <c r="C716"/>
  <c r="D716"/>
  <c r="E716"/>
  <c r="F716"/>
  <c r="A1144"/>
  <c r="C1144"/>
  <c r="D1144"/>
  <c r="E1144"/>
  <c r="F1144"/>
  <c r="A924"/>
  <c r="C924"/>
  <c r="D924"/>
  <c r="E924"/>
  <c r="F924"/>
  <c r="A1088"/>
  <c r="C1088"/>
  <c r="D1088"/>
  <c r="E1088"/>
  <c r="F1088"/>
  <c r="A650"/>
  <c r="C650"/>
  <c r="D650"/>
  <c r="E650"/>
  <c r="F650"/>
  <c r="A905"/>
  <c r="C905"/>
  <c r="D905"/>
  <c r="E905"/>
  <c r="F905"/>
  <c r="A1087"/>
  <c r="C1087"/>
  <c r="D1087"/>
  <c r="E1087"/>
  <c r="F1087"/>
  <c r="A651"/>
  <c r="C651"/>
  <c r="D651"/>
  <c r="E651"/>
  <c r="F651"/>
  <c r="A891"/>
  <c r="C891"/>
  <c r="D891"/>
  <c r="E891"/>
  <c r="F891"/>
  <c r="A256"/>
  <c r="C256"/>
  <c r="D256"/>
  <c r="E256"/>
  <c r="F256"/>
  <c r="A62"/>
  <c r="C62"/>
  <c r="D62"/>
  <c r="E62"/>
  <c r="F62"/>
  <c r="A722"/>
  <c r="C722"/>
  <c r="D722"/>
  <c r="E722"/>
  <c r="F722"/>
  <c r="A575"/>
  <c r="C575"/>
  <c r="D575"/>
  <c r="E575"/>
  <c r="F575"/>
  <c r="A301"/>
  <c r="C301"/>
  <c r="D301"/>
  <c r="E301"/>
  <c r="F301"/>
  <c r="A721"/>
  <c r="C721"/>
  <c r="D721"/>
  <c r="E721"/>
  <c r="F721"/>
  <c r="A281"/>
  <c r="C281"/>
  <c r="D281"/>
  <c r="E281"/>
  <c r="F281"/>
  <c r="A63"/>
  <c r="C63"/>
  <c r="D63"/>
  <c r="E63"/>
  <c r="F63"/>
  <c r="A4"/>
  <c r="C4"/>
  <c r="D4"/>
  <c r="E4"/>
  <c r="F4"/>
  <c r="A539"/>
  <c r="C539"/>
  <c r="D539"/>
  <c r="E539"/>
  <c r="F539"/>
  <c r="A952"/>
  <c r="C952"/>
  <c r="D952"/>
  <c r="E952"/>
  <c r="F952"/>
  <c r="A785"/>
  <c r="C785"/>
  <c r="D785"/>
  <c r="E785"/>
  <c r="F785"/>
  <c r="A604"/>
  <c r="C604"/>
  <c r="D604"/>
  <c r="E604"/>
  <c r="F604"/>
  <c r="A887"/>
  <c r="C887"/>
  <c r="D887"/>
  <c r="E887"/>
  <c r="F887"/>
  <c r="A913"/>
  <c r="C913"/>
  <c r="D913"/>
  <c r="E913"/>
  <c r="F913"/>
  <c r="A202"/>
  <c r="C202"/>
  <c r="D202"/>
  <c r="E202"/>
  <c r="F202"/>
  <c r="A260"/>
  <c r="C260"/>
  <c r="D260"/>
  <c r="E260"/>
  <c r="F260"/>
  <c r="A1105"/>
  <c r="C1105"/>
  <c r="D1105"/>
  <c r="E1105"/>
  <c r="F1105"/>
  <c r="A766"/>
  <c r="C766"/>
  <c r="D766"/>
  <c r="E766"/>
  <c r="F766"/>
  <c r="A740"/>
  <c r="C740"/>
  <c r="D740"/>
  <c r="E740"/>
  <c r="F740"/>
  <c r="A997"/>
  <c r="C997"/>
  <c r="D997"/>
  <c r="E997"/>
  <c r="F997"/>
  <c r="A249"/>
  <c r="C249"/>
  <c r="D249"/>
  <c r="E249"/>
  <c r="F249"/>
  <c r="A841"/>
  <c r="C841"/>
  <c r="D841"/>
  <c r="E841"/>
  <c r="F841"/>
  <c r="A463"/>
  <c r="C463"/>
  <c r="D463"/>
  <c r="E463"/>
  <c r="F463"/>
  <c r="A1060"/>
  <c r="C1060"/>
  <c r="D1060"/>
  <c r="E1060"/>
  <c r="F1060"/>
  <c r="A1048"/>
  <c r="C1048"/>
  <c r="D1048"/>
  <c r="E1048"/>
  <c r="F1048"/>
  <c r="A1021"/>
  <c r="C1021"/>
  <c r="D1021"/>
  <c r="E1021"/>
  <c r="F1021"/>
  <c r="A363"/>
  <c r="C363"/>
  <c r="D363"/>
  <c r="E363"/>
  <c r="F363"/>
  <c r="A185"/>
  <c r="C185"/>
  <c r="D185"/>
  <c r="E185"/>
  <c r="F185"/>
  <c r="A103"/>
  <c r="C103"/>
  <c r="D103"/>
  <c r="E103"/>
  <c r="F103"/>
  <c r="A1146"/>
  <c r="C1146"/>
  <c r="D1146"/>
  <c r="E1146"/>
  <c r="F1146"/>
  <c r="A737"/>
  <c r="C737"/>
  <c r="D737"/>
  <c r="E737"/>
  <c r="F737"/>
  <c r="A1086"/>
  <c r="C1086"/>
  <c r="D1086"/>
  <c r="E1086"/>
  <c r="F1086"/>
  <c r="A1056"/>
  <c r="C1056"/>
  <c r="D1056"/>
  <c r="E1056"/>
  <c r="F1056"/>
  <c r="A818"/>
  <c r="C818"/>
  <c r="D818"/>
  <c r="E818"/>
  <c r="F818"/>
  <c r="A1077"/>
  <c r="C1077"/>
  <c r="D1077"/>
  <c r="E1077"/>
  <c r="F1077"/>
  <c r="A1032"/>
  <c r="C1032"/>
  <c r="D1032"/>
  <c r="E1032"/>
  <c r="F1032"/>
  <c r="A106"/>
  <c r="C106"/>
  <c r="D106"/>
  <c r="E106"/>
  <c r="F106"/>
  <c r="A907"/>
  <c r="C907"/>
  <c r="D907"/>
  <c r="E907"/>
  <c r="F907"/>
  <c r="A1141"/>
  <c r="C1141"/>
  <c r="D1141"/>
  <c r="E1141"/>
  <c r="F1141"/>
  <c r="A373"/>
  <c r="C373"/>
  <c r="D373"/>
  <c r="E373"/>
  <c r="F373"/>
  <c r="A1002"/>
  <c r="C1002"/>
  <c r="D1002"/>
  <c r="E1002"/>
  <c r="F1002"/>
  <c r="A1180"/>
  <c r="C1180"/>
  <c r="D1180"/>
  <c r="E1180"/>
  <c r="F1180"/>
  <c r="A294"/>
  <c r="C294"/>
  <c r="D294"/>
  <c r="E294"/>
  <c r="F294"/>
  <c r="A702"/>
  <c r="C702"/>
  <c r="D702"/>
  <c r="E702"/>
  <c r="F702"/>
  <c r="A477"/>
  <c r="C477"/>
  <c r="D477"/>
  <c r="E477"/>
  <c r="F477"/>
  <c r="A848"/>
  <c r="C848"/>
  <c r="D848"/>
  <c r="E848"/>
  <c r="F848"/>
  <c r="A675"/>
  <c r="C675"/>
  <c r="D675"/>
  <c r="E675"/>
  <c r="F675"/>
  <c r="A616"/>
  <c r="C616"/>
  <c r="D616"/>
  <c r="E616"/>
  <c r="F616"/>
  <c r="A898"/>
  <c r="C898"/>
  <c r="D898"/>
  <c r="E898"/>
  <c r="F898"/>
  <c r="A184"/>
  <c r="C184"/>
  <c r="D184"/>
  <c r="E184"/>
  <c r="F184"/>
  <c r="A489"/>
  <c r="C489"/>
  <c r="D489"/>
  <c r="E489"/>
  <c r="F489"/>
  <c r="A1193"/>
  <c r="C1193"/>
  <c r="D1193"/>
  <c r="E1193"/>
  <c r="F1193"/>
  <c r="A1045"/>
  <c r="C1045"/>
  <c r="D1045"/>
  <c r="E1045"/>
  <c r="F1045"/>
  <c r="A835"/>
  <c r="C835"/>
  <c r="D835"/>
  <c r="E835"/>
  <c r="F835"/>
  <c r="A630"/>
  <c r="C630"/>
  <c r="D630"/>
  <c r="E630"/>
  <c r="F630"/>
  <c r="A518"/>
  <c r="C518"/>
  <c r="D518"/>
  <c r="E518"/>
  <c r="F518"/>
  <c r="A48"/>
  <c r="C48"/>
  <c r="D48"/>
  <c r="E48"/>
  <c r="F48"/>
  <c r="A712"/>
  <c r="C712"/>
  <c r="D712"/>
  <c r="E712"/>
  <c r="F712"/>
  <c r="A896"/>
  <c r="C896"/>
  <c r="D896"/>
  <c r="E896"/>
  <c r="F896"/>
  <c r="A888"/>
  <c r="C888"/>
  <c r="D888"/>
  <c r="E888"/>
  <c r="F888"/>
  <c r="A930"/>
  <c r="C930"/>
  <c r="D930"/>
  <c r="E930"/>
  <c r="F930"/>
  <c r="A600"/>
  <c r="C600"/>
  <c r="D600"/>
  <c r="E600"/>
  <c r="F600"/>
  <c r="A447"/>
  <c r="C447"/>
  <c r="D447"/>
  <c r="E447"/>
  <c r="F447"/>
  <c r="A132"/>
  <c r="C132"/>
  <c r="D132"/>
  <c r="E132"/>
  <c r="F132"/>
  <c r="A732"/>
  <c r="C732"/>
  <c r="D732"/>
  <c r="E732"/>
  <c r="F732"/>
  <c r="A636"/>
  <c r="C636"/>
  <c r="D636"/>
  <c r="E636"/>
  <c r="F636"/>
  <c r="A861"/>
  <c r="C861"/>
  <c r="D861"/>
  <c r="E861"/>
  <c r="F861"/>
  <c r="A1123"/>
  <c r="C1123"/>
  <c r="D1123"/>
  <c r="E1123"/>
  <c r="F1123"/>
  <c r="A1149"/>
  <c r="C1149"/>
  <c r="D1149"/>
  <c r="E1149"/>
  <c r="F1149"/>
  <c r="A1201"/>
  <c r="C1201"/>
  <c r="D1201"/>
  <c r="E1201"/>
  <c r="F1201"/>
  <c r="A671"/>
  <c r="C671"/>
  <c r="D671"/>
  <c r="E671"/>
  <c r="F671"/>
  <c r="A1009"/>
  <c r="C1009"/>
  <c r="D1009"/>
  <c r="E1009"/>
  <c r="F1009"/>
  <c r="A50"/>
  <c r="C50"/>
  <c r="D50"/>
  <c r="E50"/>
  <c r="F50"/>
  <c r="A435"/>
  <c r="C435"/>
  <c r="D435"/>
  <c r="E435"/>
  <c r="F435"/>
  <c r="A1152"/>
  <c r="C1152"/>
  <c r="D1152"/>
  <c r="E1152"/>
  <c r="F1152"/>
  <c r="A183"/>
  <c r="C183"/>
  <c r="D183"/>
  <c r="E183"/>
  <c r="F183"/>
  <c r="A1076"/>
  <c r="C1076"/>
  <c r="D1076"/>
  <c r="E1076"/>
  <c r="F1076"/>
  <c r="A851"/>
  <c r="C851"/>
  <c r="D851"/>
  <c r="E851"/>
  <c r="F851"/>
  <c r="A338"/>
  <c r="C338"/>
  <c r="D338"/>
  <c r="E338"/>
  <c r="F338"/>
  <c r="A454"/>
  <c r="C454"/>
  <c r="D454"/>
  <c r="E454"/>
  <c r="F454"/>
  <c r="A759"/>
  <c r="C759"/>
  <c r="D759"/>
  <c r="E759"/>
  <c r="F759"/>
  <c r="A1183"/>
  <c r="C1183"/>
  <c r="D1183"/>
  <c r="E1183"/>
  <c r="F1183"/>
  <c r="A763"/>
  <c r="C763"/>
  <c r="D763"/>
  <c r="E763"/>
  <c r="F763"/>
  <c r="A833"/>
  <c r="C833"/>
  <c r="D833"/>
  <c r="E833"/>
  <c r="F833"/>
  <c r="A149"/>
  <c r="C149"/>
  <c r="D149"/>
  <c r="E149"/>
  <c r="F149"/>
  <c r="A474"/>
  <c r="C474"/>
  <c r="D474"/>
  <c r="E474"/>
  <c r="F474"/>
  <c r="A273"/>
  <c r="C273"/>
  <c r="D273"/>
  <c r="E273"/>
  <c r="F273"/>
  <c r="A480"/>
  <c r="C480"/>
  <c r="D480"/>
  <c r="E480"/>
  <c r="F480"/>
  <c r="A356"/>
  <c r="C356"/>
  <c r="D356"/>
  <c r="E356"/>
  <c r="F356"/>
  <c r="A1033"/>
  <c r="C1033"/>
  <c r="D1033"/>
  <c r="E1033"/>
  <c r="F1033"/>
  <c r="A1030"/>
  <c r="C1030"/>
  <c r="D1030"/>
  <c r="E1030"/>
  <c r="F1030"/>
  <c r="A1208"/>
  <c r="C1208"/>
  <c r="D1208"/>
  <c r="E1208"/>
  <c r="F1208"/>
  <c r="A432"/>
  <c r="C432"/>
  <c r="D432"/>
  <c r="E432"/>
  <c r="F432"/>
  <c r="A433"/>
  <c r="C433"/>
  <c r="D433"/>
  <c r="E433"/>
  <c r="F433"/>
  <c r="A736"/>
  <c r="C736"/>
  <c r="D736"/>
  <c r="E736"/>
  <c r="F736"/>
  <c r="A1161"/>
  <c r="C1161"/>
  <c r="D1161"/>
  <c r="E1161"/>
  <c r="F1161"/>
  <c r="A1062"/>
  <c r="C1062"/>
  <c r="D1062"/>
  <c r="E1062"/>
  <c r="F1062"/>
  <c r="A830"/>
  <c r="C830"/>
  <c r="D830"/>
  <c r="E830"/>
  <c r="F830"/>
  <c r="A146"/>
  <c r="C146"/>
  <c r="D146"/>
  <c r="E146"/>
  <c r="F146"/>
  <c r="A394"/>
  <c r="C394"/>
  <c r="D394"/>
  <c r="E394"/>
  <c r="F394"/>
  <c r="A366"/>
  <c r="C366"/>
  <c r="D366"/>
  <c r="E366"/>
  <c r="F366"/>
  <c r="A701"/>
  <c r="C701"/>
  <c r="D701"/>
  <c r="E701"/>
  <c r="F701"/>
  <c r="A757"/>
  <c r="C757"/>
  <c r="D757"/>
  <c r="E757"/>
  <c r="F757"/>
  <c r="A852"/>
  <c r="C852"/>
  <c r="D852"/>
  <c r="E852"/>
  <c r="F852"/>
  <c r="A789"/>
  <c r="C789"/>
  <c r="D789"/>
  <c r="E789"/>
  <c r="F789"/>
  <c r="A1206"/>
  <c r="C1206"/>
  <c r="D1206"/>
  <c r="E1206"/>
  <c r="F1206"/>
  <c r="A718"/>
  <c r="C718"/>
  <c r="D718"/>
  <c r="E718"/>
  <c r="F718"/>
  <c r="A289"/>
  <c r="C289"/>
  <c r="D289"/>
  <c r="E289"/>
  <c r="F289"/>
  <c r="A704"/>
  <c r="C704"/>
  <c r="D704"/>
  <c r="E704"/>
  <c r="F704"/>
  <c r="A514"/>
  <c r="C514"/>
  <c r="D514"/>
  <c r="E514"/>
  <c r="F514"/>
  <c r="A933"/>
  <c r="C933"/>
  <c r="D933"/>
  <c r="E933"/>
  <c r="F933"/>
  <c r="A420"/>
  <c r="C420"/>
  <c r="D420"/>
  <c r="E420"/>
  <c r="F420"/>
  <c r="A158"/>
  <c r="C158"/>
  <c r="D158"/>
  <c r="E158"/>
  <c r="F158"/>
  <c r="A941"/>
  <c r="C941"/>
  <c r="D941"/>
  <c r="E941"/>
  <c r="F941"/>
  <c r="A1044"/>
  <c r="C1044"/>
  <c r="D1044"/>
  <c r="E1044"/>
  <c r="F1044"/>
  <c r="A488"/>
  <c r="C488"/>
  <c r="D488"/>
  <c r="E488"/>
  <c r="F488"/>
  <c r="A692"/>
  <c r="C692"/>
  <c r="D692"/>
  <c r="E692"/>
  <c r="F692"/>
  <c r="A138"/>
  <c r="C138"/>
  <c r="D138"/>
  <c r="E138"/>
  <c r="F138"/>
  <c r="A777"/>
  <c r="C777"/>
  <c r="D777"/>
  <c r="E777"/>
  <c r="F777"/>
  <c r="A359"/>
  <c r="C359"/>
  <c r="D359"/>
  <c r="E359"/>
  <c r="F359"/>
  <c r="A570"/>
  <c r="C570"/>
  <c r="D570"/>
  <c r="E570"/>
  <c r="F570"/>
  <c r="A486"/>
  <c r="C486"/>
  <c r="D486"/>
  <c r="E486"/>
  <c r="F486"/>
  <c r="A365"/>
  <c r="C365"/>
  <c r="D365"/>
  <c r="E365"/>
  <c r="F365"/>
  <c r="A1039"/>
  <c r="C1039"/>
  <c r="D1039"/>
  <c r="E1039"/>
  <c r="F1039"/>
  <c r="A61"/>
  <c r="C61"/>
  <c r="D61"/>
  <c r="E61"/>
  <c r="F61"/>
  <c r="A1069"/>
  <c r="C1069"/>
  <c r="D1069"/>
  <c r="E1069"/>
  <c r="F1069"/>
  <c r="A690"/>
  <c r="C690"/>
  <c r="D690"/>
  <c r="E690"/>
  <c r="F690"/>
  <c r="A656"/>
  <c r="C656"/>
  <c r="D656"/>
  <c r="E656"/>
  <c r="F656"/>
  <c r="A613"/>
  <c r="C613"/>
  <c r="D613"/>
  <c r="E613"/>
  <c r="F613"/>
  <c r="A51"/>
  <c r="C51"/>
  <c r="D51"/>
  <c r="E51"/>
  <c r="F51"/>
  <c r="A453"/>
  <c r="C453"/>
  <c r="D453"/>
  <c r="E453"/>
  <c r="F453"/>
  <c r="A122"/>
  <c r="C122"/>
  <c r="D122"/>
  <c r="E122"/>
  <c r="F122"/>
  <c r="A382"/>
  <c r="C382"/>
  <c r="D382"/>
  <c r="E382"/>
  <c r="F382"/>
  <c r="A923"/>
  <c r="C923"/>
  <c r="D923"/>
  <c r="E923"/>
  <c r="F923"/>
  <c r="A1179"/>
  <c r="C1179"/>
  <c r="D1179"/>
  <c r="E1179"/>
  <c r="F1179"/>
  <c r="A312"/>
  <c r="C312"/>
  <c r="D312"/>
  <c r="E312"/>
  <c r="F312"/>
  <c r="A1178"/>
  <c r="C1178"/>
  <c r="D1178"/>
  <c r="E1178"/>
  <c r="F1178"/>
  <c r="A676"/>
  <c r="C676"/>
  <c r="D676"/>
  <c r="E676"/>
  <c r="F676"/>
  <c r="A16"/>
  <c r="C16"/>
  <c r="D16"/>
  <c r="E16"/>
  <c r="F16"/>
  <c r="A822"/>
  <c r="C822"/>
  <c r="D822"/>
  <c r="E822"/>
  <c r="F822"/>
  <c r="A531"/>
  <c r="C531"/>
  <c r="D531"/>
  <c r="E531"/>
  <c r="F531"/>
  <c r="A1216"/>
  <c r="C1216"/>
  <c r="D1216"/>
  <c r="E1216"/>
  <c r="F1216"/>
  <c r="A964"/>
  <c r="C964"/>
  <c r="D964"/>
  <c r="E964"/>
  <c r="F964"/>
  <c r="A988"/>
  <c r="C988"/>
  <c r="D988"/>
  <c r="E988"/>
  <c r="F988"/>
  <c r="A831"/>
  <c r="C831"/>
  <c r="D831"/>
  <c r="E831"/>
  <c r="F831"/>
  <c r="A280"/>
  <c r="C280"/>
  <c r="D280"/>
  <c r="E280"/>
  <c r="F280"/>
  <c r="A585"/>
  <c r="C585"/>
  <c r="D585"/>
  <c r="E585"/>
  <c r="F585"/>
  <c r="A1210"/>
  <c r="C1210"/>
  <c r="D1210"/>
  <c r="E1210"/>
  <c r="F1210"/>
  <c r="A1038"/>
  <c r="C1038"/>
  <c r="D1038"/>
  <c r="E1038"/>
  <c r="F1038"/>
  <c r="A949"/>
  <c r="C949"/>
  <c r="D949"/>
  <c r="E949"/>
  <c r="F949"/>
  <c r="A999"/>
  <c r="C999"/>
  <c r="D999"/>
  <c r="E999"/>
  <c r="F999"/>
  <c r="A934"/>
  <c r="C934"/>
  <c r="D934"/>
  <c r="E934"/>
  <c r="F934"/>
  <c r="A378"/>
  <c r="C378"/>
  <c r="D378"/>
  <c r="E378"/>
  <c r="F378"/>
  <c r="A681"/>
  <c r="C681"/>
  <c r="D681"/>
  <c r="E681"/>
  <c r="F681"/>
  <c r="A91"/>
  <c r="C91"/>
  <c r="D91"/>
  <c r="E91"/>
  <c r="F91"/>
  <c r="A1223"/>
  <c r="C1223"/>
  <c r="D1223"/>
  <c r="E1223"/>
  <c r="F1223"/>
  <c r="A1054"/>
  <c r="C1054"/>
  <c r="D1054"/>
  <c r="E1054"/>
  <c r="F1054"/>
  <c r="A653"/>
  <c r="C653"/>
  <c r="D653"/>
  <c r="E653"/>
  <c r="F653"/>
  <c r="A754"/>
  <c r="C754"/>
  <c r="D754"/>
  <c r="E754"/>
  <c r="F754"/>
  <c r="A347"/>
  <c r="C347"/>
  <c r="D347"/>
  <c r="E347"/>
  <c r="F347"/>
  <c r="A743"/>
  <c r="C743"/>
  <c r="D743"/>
  <c r="E743"/>
  <c r="F743"/>
  <c r="A1156"/>
  <c r="C1156"/>
  <c r="D1156"/>
  <c r="E1156"/>
  <c r="F1156"/>
  <c r="A471"/>
  <c r="C471"/>
  <c r="D471"/>
  <c r="E471"/>
  <c r="F471"/>
  <c r="A38"/>
  <c r="C38"/>
  <c r="D38"/>
  <c r="E38"/>
  <c r="F38"/>
  <c r="A643"/>
  <c r="C643"/>
  <c r="D643"/>
  <c r="E643"/>
  <c r="F643"/>
  <c r="A65"/>
  <c r="C65"/>
  <c r="D65"/>
  <c r="E65"/>
  <c r="F65"/>
  <c r="A550"/>
  <c r="C550"/>
  <c r="D550"/>
  <c r="E550"/>
  <c r="F550"/>
  <c r="A1007"/>
  <c r="C1007"/>
  <c r="D1007"/>
  <c r="E1007"/>
  <c r="F1007"/>
  <c r="A325"/>
  <c r="C325"/>
  <c r="D325"/>
  <c r="E325"/>
  <c r="F325"/>
  <c r="A83"/>
  <c r="C83"/>
  <c r="D83"/>
  <c r="E83"/>
  <c r="F83"/>
  <c r="A87"/>
  <c r="C87"/>
  <c r="D87"/>
  <c r="E87"/>
  <c r="F87"/>
  <c r="A521"/>
  <c r="C521"/>
  <c r="D521"/>
  <c r="E521"/>
  <c r="F521"/>
  <c r="A1119"/>
  <c r="C1119"/>
  <c r="D1119"/>
  <c r="E1119"/>
  <c r="F1119"/>
  <c r="A1043"/>
  <c r="C1043"/>
  <c r="D1043"/>
  <c r="E1043"/>
  <c r="F1043"/>
  <c r="A227"/>
  <c r="C227"/>
  <c r="D227"/>
  <c r="E227"/>
  <c r="F227"/>
  <c r="A109"/>
  <c r="C109"/>
  <c r="D109"/>
  <c r="E109"/>
  <c r="F109"/>
  <c r="A1073"/>
  <c r="C1073"/>
  <c r="D1073"/>
  <c r="E1073"/>
  <c r="F1073"/>
  <c r="A201"/>
  <c r="C201"/>
  <c r="D201"/>
  <c r="E201"/>
  <c r="F201"/>
  <c r="A481"/>
  <c r="C481"/>
  <c r="D481"/>
  <c r="E481"/>
  <c r="F481"/>
  <c r="A33"/>
  <c r="C33"/>
  <c r="D33"/>
  <c r="E33"/>
  <c r="F33"/>
  <c r="A1222"/>
  <c r="C1222"/>
  <c r="D1222"/>
  <c r="E1222"/>
  <c r="F1222"/>
  <c r="A413"/>
  <c r="C413"/>
  <c r="D413"/>
  <c r="E413"/>
  <c r="F413"/>
  <c r="A761"/>
  <c r="C761"/>
  <c r="D761"/>
  <c r="E761"/>
  <c r="F761"/>
  <c r="A139"/>
  <c r="C139"/>
  <c r="D139"/>
  <c r="E139"/>
  <c r="F139"/>
  <c r="A384"/>
  <c r="C384"/>
  <c r="D384"/>
  <c r="E384"/>
  <c r="F384"/>
  <c r="A664"/>
  <c r="C664"/>
  <c r="D664"/>
  <c r="E664"/>
  <c r="F664"/>
  <c r="A1026"/>
  <c r="C1026"/>
  <c r="D1026"/>
  <c r="E1026"/>
  <c r="F1026"/>
  <c r="A910"/>
  <c r="C910"/>
  <c r="D910"/>
  <c r="E910"/>
  <c r="F910"/>
  <c r="A954"/>
  <c r="C954"/>
  <c r="D954"/>
  <c r="E954"/>
  <c r="F954"/>
  <c r="A1164"/>
  <c r="C1164"/>
  <c r="D1164"/>
  <c r="E1164"/>
  <c r="F1164"/>
  <c r="A1199"/>
  <c r="C1199"/>
  <c r="D1199"/>
  <c r="E1199"/>
  <c r="F1199"/>
  <c r="A172"/>
  <c r="C172"/>
  <c r="D172"/>
  <c r="E172"/>
  <c r="F172"/>
  <c r="A502"/>
  <c r="C502"/>
  <c r="D502"/>
  <c r="E502"/>
  <c r="F502"/>
  <c r="A857"/>
  <c r="C857"/>
  <c r="D857"/>
  <c r="E857"/>
  <c r="F857"/>
  <c r="A492"/>
  <c r="C492"/>
  <c r="D492"/>
  <c r="E492"/>
  <c r="F492"/>
  <c r="A960"/>
  <c r="C960"/>
  <c r="D960"/>
  <c r="E960"/>
  <c r="F960"/>
  <c r="A775"/>
  <c r="C775"/>
  <c r="D775"/>
  <c r="E775"/>
  <c r="F775"/>
  <c r="A944"/>
  <c r="C944"/>
  <c r="D944"/>
  <c r="E944"/>
  <c r="F944"/>
  <c r="A1153"/>
  <c r="C1153"/>
  <c r="D1153"/>
  <c r="E1153"/>
  <c r="F1153"/>
  <c r="A203"/>
  <c r="C203"/>
  <c r="D203"/>
  <c r="E203"/>
  <c r="F203"/>
  <c r="A75"/>
  <c r="C75"/>
  <c r="D75"/>
  <c r="E75"/>
  <c r="F75"/>
  <c r="A1057"/>
  <c r="C1057"/>
  <c r="D1057"/>
  <c r="E1057"/>
  <c r="F1057"/>
  <c r="A415"/>
  <c r="C415"/>
  <c r="D415"/>
  <c r="E415"/>
  <c r="F415"/>
  <c r="A906"/>
  <c r="C906"/>
  <c r="D906"/>
  <c r="E906"/>
  <c r="F906"/>
  <c r="A652"/>
  <c r="C652"/>
  <c r="D652"/>
  <c r="E652"/>
  <c r="F652"/>
  <c r="A998"/>
  <c r="C998"/>
  <c r="D998"/>
  <c r="E998"/>
  <c r="F998"/>
  <c r="A253"/>
  <c r="C253"/>
  <c r="D253"/>
  <c r="E253"/>
  <c r="F253"/>
  <c r="A836"/>
  <c r="C836"/>
  <c r="D836"/>
  <c r="E836"/>
  <c r="F836"/>
  <c r="A705"/>
  <c r="C705"/>
  <c r="D705"/>
  <c r="E705"/>
  <c r="F705"/>
  <c r="A12"/>
  <c r="C12"/>
  <c r="D12"/>
  <c r="E12"/>
  <c r="F12"/>
  <c r="A1034"/>
  <c r="C1034"/>
  <c r="D1034"/>
  <c r="E1034"/>
  <c r="F1034"/>
  <c r="A451"/>
  <c r="C451"/>
  <c r="D451"/>
  <c r="E451"/>
  <c r="F451"/>
  <c r="A612"/>
  <c r="C612"/>
  <c r="D612"/>
  <c r="E612"/>
  <c r="F612"/>
  <c r="A963"/>
  <c r="C963"/>
  <c r="D963"/>
  <c r="E963"/>
  <c r="F963"/>
  <c r="A684"/>
  <c r="C684"/>
  <c r="D684"/>
  <c r="E684"/>
  <c r="F684"/>
  <c r="A1190"/>
  <c r="C1190"/>
  <c r="D1190"/>
  <c r="E1190"/>
  <c r="F1190"/>
  <c r="A92"/>
  <c r="C92"/>
  <c r="D92"/>
  <c r="E92"/>
  <c r="F92"/>
  <c r="A429"/>
  <c r="C429"/>
  <c r="D429"/>
  <c r="E429"/>
  <c r="F429"/>
  <c r="A985"/>
  <c r="C985"/>
  <c r="D985"/>
  <c r="E985"/>
  <c r="F985"/>
  <c r="A205"/>
  <c r="C205"/>
  <c r="D205"/>
  <c r="E205"/>
  <c r="F205"/>
  <c r="A97"/>
  <c r="C97"/>
  <c r="D97"/>
  <c r="E97"/>
  <c r="F97"/>
  <c r="A1072"/>
  <c r="C1072"/>
  <c r="D1072"/>
  <c r="E1072"/>
  <c r="F1072"/>
  <c r="A725"/>
  <c r="C725"/>
  <c r="D725"/>
  <c r="E725"/>
  <c r="F725"/>
  <c r="A970"/>
  <c r="C970"/>
  <c r="D970"/>
  <c r="E970"/>
  <c r="F970"/>
  <c r="A1004"/>
  <c r="C1004"/>
  <c r="D1004"/>
  <c r="E1004"/>
  <c r="F1004"/>
  <c r="A911"/>
  <c r="C911"/>
  <c r="D911"/>
  <c r="E911"/>
  <c r="F911"/>
  <c r="A538"/>
  <c r="C538"/>
  <c r="D538"/>
  <c r="E538"/>
  <c r="F538"/>
  <c r="A1082"/>
  <c r="C1082"/>
  <c r="D1082"/>
  <c r="E1082"/>
  <c r="F1082"/>
  <c r="A1059"/>
  <c r="C1059"/>
  <c r="D1059"/>
  <c r="E1059"/>
  <c r="F1059"/>
  <c r="A660"/>
  <c r="C660"/>
  <c r="D660"/>
  <c r="E660"/>
  <c r="F660"/>
  <c r="A958"/>
  <c r="C958"/>
  <c r="D958"/>
  <c r="E958"/>
  <c r="F958"/>
  <c r="A316"/>
  <c r="C316"/>
  <c r="D316"/>
  <c r="E316"/>
  <c r="F316"/>
  <c r="A1207"/>
  <c r="C1207"/>
  <c r="D1207"/>
  <c r="E1207"/>
  <c r="F1207"/>
  <c r="A786"/>
  <c r="C786"/>
  <c r="D786"/>
  <c r="E786"/>
  <c r="F786"/>
  <c r="A409"/>
  <c r="C409"/>
  <c r="D409"/>
  <c r="E409"/>
  <c r="F409"/>
  <c r="A948"/>
  <c r="C948"/>
  <c r="D948"/>
  <c r="E948"/>
  <c r="F948"/>
  <c r="A1219"/>
  <c r="C1219"/>
  <c r="D1219"/>
  <c r="E1219"/>
  <c r="F1219"/>
  <c r="A917"/>
  <c r="C917"/>
  <c r="D917"/>
  <c r="E917"/>
  <c r="F917"/>
  <c r="A1104"/>
  <c r="C1104"/>
  <c r="D1104"/>
  <c r="E1104"/>
  <c r="F1104"/>
  <c r="A603"/>
  <c r="C603"/>
  <c r="D603"/>
  <c r="E603"/>
  <c r="F603"/>
  <c r="A890"/>
  <c r="C890"/>
  <c r="D890"/>
  <c r="E890"/>
  <c r="F890"/>
  <c r="A104"/>
  <c r="C104"/>
  <c r="D104"/>
  <c r="E104"/>
  <c r="F104"/>
  <c r="A69"/>
  <c r="C69"/>
  <c r="D69"/>
  <c r="E69"/>
  <c r="F69"/>
  <c r="A1008"/>
  <c r="C1008"/>
  <c r="D1008"/>
  <c r="E1008"/>
  <c r="F1008"/>
  <c r="A580"/>
  <c r="C580"/>
  <c r="D580"/>
  <c r="E580"/>
  <c r="F580"/>
  <c r="A682"/>
  <c r="C682"/>
  <c r="D682"/>
  <c r="E682"/>
  <c r="F682"/>
  <c r="A179"/>
  <c r="C179"/>
  <c r="D179"/>
  <c r="E179"/>
  <c r="F179"/>
  <c r="A465"/>
  <c r="C465"/>
  <c r="D465"/>
  <c r="E465"/>
  <c r="F465"/>
  <c r="A1111"/>
  <c r="C1111"/>
  <c r="D1111"/>
  <c r="E1111"/>
  <c r="F1111"/>
  <c r="A34"/>
  <c r="C34"/>
  <c r="D34"/>
  <c r="E34"/>
  <c r="F34"/>
  <c r="A511"/>
  <c r="C511"/>
  <c r="D511"/>
  <c r="E511"/>
  <c r="F511"/>
  <c r="A700"/>
  <c r="C700"/>
  <c r="D700"/>
  <c r="E700"/>
  <c r="F700"/>
  <c r="A1130"/>
  <c r="C1130"/>
  <c r="D1130"/>
  <c r="E1130"/>
  <c r="F1130"/>
  <c r="A19"/>
  <c r="C19"/>
  <c r="D19"/>
  <c r="E19"/>
  <c r="F19"/>
  <c r="A1196"/>
  <c r="C1196"/>
  <c r="D1196"/>
  <c r="E1196"/>
  <c r="F1196"/>
  <c r="A98"/>
  <c r="C98"/>
  <c r="D98"/>
  <c r="E98"/>
  <c r="F98"/>
  <c r="A663"/>
  <c r="C663"/>
  <c r="D663"/>
  <c r="E663"/>
  <c r="F663"/>
  <c r="A1098"/>
  <c r="C1098"/>
  <c r="D1098"/>
  <c r="E1098"/>
  <c r="F1098"/>
  <c r="A300"/>
  <c r="C300"/>
  <c r="D300"/>
  <c r="E300"/>
  <c r="F300"/>
  <c r="A867"/>
  <c r="C867"/>
  <c r="D867"/>
  <c r="E867"/>
  <c r="F867"/>
  <c r="A84"/>
  <c r="C84"/>
  <c r="D84"/>
  <c r="E84"/>
  <c r="F84"/>
  <c r="A776"/>
  <c r="C776"/>
  <c r="D776"/>
  <c r="E776"/>
  <c r="F776"/>
  <c r="A150"/>
  <c r="C150"/>
  <c r="D150"/>
  <c r="E150"/>
  <c r="F150"/>
  <c r="A1218"/>
  <c r="C1218"/>
  <c r="D1218"/>
  <c r="E1218"/>
  <c r="F1218"/>
  <c r="A1125"/>
  <c r="C1125"/>
  <c r="D1125"/>
  <c r="E1125"/>
  <c r="F1125"/>
  <c r="A254"/>
  <c r="C254"/>
  <c r="D254"/>
  <c r="E254"/>
  <c r="F254"/>
  <c r="A90"/>
  <c r="C90"/>
  <c r="D90"/>
  <c r="E90"/>
  <c r="F90"/>
  <c r="A1106"/>
  <c r="C1106"/>
  <c r="D1106"/>
  <c r="E1106"/>
  <c r="F1106"/>
  <c r="A929"/>
  <c r="C929"/>
  <c r="D929"/>
  <c r="E929"/>
  <c r="F929"/>
  <c r="A669"/>
  <c r="C669"/>
  <c r="D669"/>
  <c r="E669"/>
  <c r="F669"/>
  <c r="A94"/>
  <c r="C94"/>
  <c r="D94"/>
  <c r="E94"/>
  <c r="F94"/>
  <c r="A1113"/>
  <c r="C1113"/>
  <c r="D1113"/>
  <c r="E1113"/>
  <c r="F1113"/>
  <c r="A683"/>
  <c r="C683"/>
  <c r="D683"/>
  <c r="E683"/>
  <c r="F683"/>
  <c r="A497"/>
  <c r="C497"/>
  <c r="D497"/>
  <c r="E497"/>
  <c r="F497"/>
  <c r="A974"/>
  <c r="C974"/>
  <c r="D974"/>
  <c r="E974"/>
  <c r="F974"/>
  <c r="A1171"/>
  <c r="C1171"/>
  <c r="D1171"/>
  <c r="E1171"/>
  <c r="F1171"/>
  <c r="A588"/>
  <c r="C588"/>
  <c r="D588"/>
  <c r="E588"/>
  <c r="F588"/>
  <c r="A1162"/>
  <c r="C1162"/>
  <c r="D1162"/>
  <c r="E1162"/>
  <c r="F1162"/>
  <c r="A1143"/>
  <c r="C1143"/>
  <c r="D1143"/>
  <c r="E1143"/>
  <c r="F1143"/>
  <c r="A1090"/>
  <c r="C1090"/>
  <c r="D1090"/>
  <c r="E1090"/>
  <c r="F1090"/>
  <c r="A357"/>
  <c r="C357"/>
  <c r="D357"/>
  <c r="E357"/>
  <c r="F357"/>
  <c r="A983"/>
  <c r="C983"/>
  <c r="D983"/>
  <c r="E983"/>
  <c r="F983"/>
  <c r="A24"/>
  <c r="C24"/>
  <c r="D24"/>
  <c r="E24"/>
  <c r="F24"/>
  <c r="A89"/>
  <c r="C89"/>
  <c r="D89"/>
  <c r="E89"/>
  <c r="F89"/>
  <c r="A864"/>
  <c r="C864"/>
  <c r="D864"/>
  <c r="E864"/>
  <c r="F864"/>
  <c r="A668"/>
  <c r="C668"/>
  <c r="D668"/>
  <c r="E668"/>
  <c r="F668"/>
  <c r="A686"/>
  <c r="C686"/>
  <c r="D686"/>
  <c r="E686"/>
  <c r="F686"/>
  <c r="A1070"/>
  <c r="C1070"/>
  <c r="D1070"/>
  <c r="E1070"/>
  <c r="F1070"/>
  <c r="A1136"/>
  <c r="C1136"/>
  <c r="D1136"/>
  <c r="E1136"/>
  <c r="F1136"/>
  <c r="A141"/>
  <c r="C141"/>
  <c r="D141"/>
  <c r="E141"/>
  <c r="F141"/>
  <c r="A871"/>
  <c r="C871"/>
  <c r="D871"/>
  <c r="E871"/>
  <c r="F871"/>
  <c r="A58"/>
  <c r="C58"/>
  <c r="D58"/>
  <c r="E58"/>
  <c r="F58"/>
  <c r="A110"/>
  <c r="C110"/>
  <c r="D110"/>
  <c r="E110"/>
  <c r="F110"/>
  <c r="A673"/>
  <c r="C673"/>
  <c r="D673"/>
  <c r="E673"/>
  <c r="F673"/>
  <c r="A784"/>
  <c r="C784"/>
  <c r="D784"/>
  <c r="E784"/>
  <c r="F784"/>
  <c r="A439"/>
  <c r="C439"/>
  <c r="D439"/>
  <c r="E439"/>
  <c r="F439"/>
  <c r="A358"/>
  <c r="C358"/>
  <c r="D358"/>
  <c r="E358"/>
  <c r="F358"/>
  <c r="A877"/>
  <c r="C877"/>
  <c r="D877"/>
  <c r="E877"/>
  <c r="F877"/>
  <c r="A593"/>
  <c r="C593"/>
  <c r="D593"/>
  <c r="E593"/>
  <c r="F593"/>
  <c r="A121"/>
  <c r="C121"/>
  <c r="D121"/>
  <c r="E121"/>
  <c r="F121"/>
  <c r="A872"/>
  <c r="C872"/>
  <c r="D872"/>
  <c r="E872"/>
  <c r="F872"/>
  <c r="A662"/>
  <c r="C662"/>
  <c r="D662"/>
  <c r="E662"/>
  <c r="F662"/>
  <c r="A57"/>
  <c r="C57"/>
  <c r="D57"/>
  <c r="E57"/>
  <c r="F57"/>
  <c r="A472"/>
  <c r="C472"/>
  <c r="D472"/>
  <c r="E472"/>
  <c r="F472"/>
  <c r="A876"/>
  <c r="C876"/>
  <c r="D876"/>
  <c r="E876"/>
  <c r="F876"/>
  <c r="A335"/>
  <c r="C335"/>
  <c r="D335"/>
  <c r="E335"/>
  <c r="F335"/>
  <c r="A870"/>
  <c r="C870"/>
  <c r="D870"/>
  <c r="E870"/>
  <c r="F870"/>
  <c r="A860"/>
  <c r="C860"/>
  <c r="D860"/>
  <c r="E860"/>
  <c r="F860"/>
</calcChain>
</file>

<file path=xl/sharedStrings.xml><?xml version="1.0" encoding="utf-8"?>
<sst xmlns="http://schemas.openxmlformats.org/spreadsheetml/2006/main" count="1398" uniqueCount="44">
  <si>
    <r>
      <rPr>
        <sz val="12"/>
        <rFont val="宋体"/>
        <family val="3"/>
        <charset val="134"/>
      </rPr>
      <t>报考号</t>
    </r>
  </si>
  <si>
    <r>
      <rPr>
        <sz val="12"/>
        <rFont val="宋体"/>
        <family val="3"/>
        <charset val="134"/>
      </rPr>
      <t>考场号</t>
    </r>
  </si>
  <si>
    <r>
      <rPr>
        <sz val="12"/>
        <rFont val="宋体"/>
        <family val="3"/>
        <charset val="134"/>
      </rPr>
      <t>座位号</t>
    </r>
  </si>
  <si>
    <t>公共基础知识成绩</t>
    <phoneticPr fontId="1" type="noConversion"/>
  </si>
  <si>
    <t>缺考</t>
    <phoneticPr fontId="1" type="noConversion"/>
  </si>
  <si>
    <t>在试卷规定以外位置标注本人姓名和准考证号信息</t>
    <phoneticPr fontId="1" type="noConversion"/>
  </si>
  <si>
    <r>
      <rPr>
        <b/>
        <sz val="11"/>
        <color theme="1"/>
        <rFont val="宋体"/>
        <family val="3"/>
        <charset val="134"/>
      </rPr>
      <t>专业知识成绩</t>
    </r>
  </si>
  <si>
    <r>
      <t>180012_</t>
    </r>
    <r>
      <rPr>
        <sz val="11"/>
        <color theme="1"/>
        <rFont val="宋体"/>
        <family val="3"/>
        <charset val="134"/>
      </rPr>
      <t>专业技术</t>
    </r>
  </si>
  <si>
    <r>
      <t>180017_</t>
    </r>
    <r>
      <rPr>
        <sz val="11"/>
        <color theme="1"/>
        <rFont val="宋体"/>
        <family val="3"/>
        <charset val="134"/>
      </rPr>
      <t>专业技术</t>
    </r>
  </si>
  <si>
    <r>
      <t>180023_</t>
    </r>
    <r>
      <rPr>
        <sz val="11"/>
        <color theme="1"/>
        <rFont val="宋体"/>
        <family val="3"/>
        <charset val="134"/>
      </rPr>
      <t>专业技术</t>
    </r>
  </si>
  <si>
    <r>
      <t>180024_</t>
    </r>
    <r>
      <rPr>
        <sz val="11"/>
        <color theme="1"/>
        <rFont val="宋体"/>
        <family val="3"/>
        <charset val="134"/>
      </rPr>
      <t>专业技术</t>
    </r>
  </si>
  <si>
    <r>
      <t>180025_</t>
    </r>
    <r>
      <rPr>
        <sz val="11"/>
        <color theme="1"/>
        <rFont val="宋体"/>
        <family val="3"/>
        <charset val="134"/>
      </rPr>
      <t>专业技术</t>
    </r>
  </si>
  <si>
    <r>
      <t>180027_</t>
    </r>
    <r>
      <rPr>
        <sz val="11"/>
        <color theme="1"/>
        <rFont val="宋体"/>
        <family val="3"/>
        <charset val="134"/>
      </rPr>
      <t>专业技术</t>
    </r>
  </si>
  <si>
    <r>
      <t>180028_</t>
    </r>
    <r>
      <rPr>
        <sz val="11"/>
        <color theme="1"/>
        <rFont val="宋体"/>
        <family val="3"/>
        <charset val="134"/>
      </rPr>
      <t>专业技术</t>
    </r>
  </si>
  <si>
    <r>
      <t>180029_</t>
    </r>
    <r>
      <rPr>
        <sz val="11"/>
        <color theme="1"/>
        <rFont val="宋体"/>
        <family val="3"/>
        <charset val="134"/>
      </rPr>
      <t>专业技术</t>
    </r>
  </si>
  <si>
    <r>
      <t>180030_</t>
    </r>
    <r>
      <rPr>
        <sz val="11"/>
        <color theme="1"/>
        <rFont val="宋体"/>
        <family val="3"/>
        <charset val="134"/>
      </rPr>
      <t>专业技术</t>
    </r>
  </si>
  <si>
    <r>
      <t>180031_</t>
    </r>
    <r>
      <rPr>
        <sz val="11"/>
        <color theme="1"/>
        <rFont val="宋体"/>
        <family val="3"/>
        <charset val="134"/>
      </rPr>
      <t>专业技术</t>
    </r>
  </si>
  <si>
    <r>
      <t>180032_</t>
    </r>
    <r>
      <rPr>
        <sz val="11"/>
        <color theme="1"/>
        <rFont val="宋体"/>
        <family val="3"/>
        <charset val="134"/>
      </rPr>
      <t>专业技术</t>
    </r>
  </si>
  <si>
    <r>
      <t>180034_</t>
    </r>
    <r>
      <rPr>
        <sz val="11"/>
        <color theme="1"/>
        <rFont val="宋体"/>
        <family val="3"/>
        <charset val="134"/>
      </rPr>
      <t>专业技术</t>
    </r>
  </si>
  <si>
    <r>
      <t>180035_</t>
    </r>
    <r>
      <rPr>
        <sz val="11"/>
        <color theme="1"/>
        <rFont val="宋体"/>
        <family val="3"/>
        <charset val="134"/>
      </rPr>
      <t>专业技术</t>
    </r>
  </si>
  <si>
    <r>
      <t>180036_</t>
    </r>
    <r>
      <rPr>
        <sz val="11"/>
        <color theme="1"/>
        <rFont val="宋体"/>
        <family val="3"/>
        <charset val="134"/>
      </rPr>
      <t>专业技术</t>
    </r>
  </si>
  <si>
    <r>
      <t>180039_</t>
    </r>
    <r>
      <rPr>
        <sz val="11"/>
        <color theme="1"/>
        <rFont val="宋体"/>
        <family val="3"/>
        <charset val="134"/>
      </rPr>
      <t>专业技术</t>
    </r>
  </si>
  <si>
    <r>
      <t>180040_</t>
    </r>
    <r>
      <rPr>
        <sz val="11"/>
        <color theme="1"/>
        <rFont val="宋体"/>
        <family val="3"/>
        <charset val="134"/>
      </rPr>
      <t>专业技术</t>
    </r>
  </si>
  <si>
    <r>
      <t>180041_</t>
    </r>
    <r>
      <rPr>
        <sz val="11"/>
        <color theme="1"/>
        <rFont val="宋体"/>
        <family val="3"/>
        <charset val="134"/>
      </rPr>
      <t>专业技术</t>
    </r>
  </si>
  <si>
    <r>
      <t>180056_</t>
    </r>
    <r>
      <rPr>
        <sz val="11"/>
        <color theme="1"/>
        <rFont val="宋体"/>
        <family val="3"/>
        <charset val="134"/>
      </rPr>
      <t>专业技术</t>
    </r>
  </si>
  <si>
    <r>
      <t>180057_</t>
    </r>
    <r>
      <rPr>
        <sz val="11"/>
        <color theme="1"/>
        <rFont val="宋体"/>
        <family val="3"/>
        <charset val="134"/>
      </rPr>
      <t>专业技术</t>
    </r>
  </si>
  <si>
    <r>
      <t>180058_</t>
    </r>
    <r>
      <rPr>
        <sz val="11"/>
        <color theme="1"/>
        <rFont val="宋体"/>
        <family val="3"/>
        <charset val="134"/>
      </rPr>
      <t>专业技术</t>
    </r>
  </si>
  <si>
    <r>
      <t>180061_</t>
    </r>
    <r>
      <rPr>
        <sz val="11"/>
        <color theme="1"/>
        <rFont val="宋体"/>
        <family val="3"/>
        <charset val="134"/>
      </rPr>
      <t>专业技术</t>
    </r>
  </si>
  <si>
    <r>
      <t>180062_</t>
    </r>
    <r>
      <rPr>
        <sz val="11"/>
        <color theme="1"/>
        <rFont val="宋体"/>
        <family val="3"/>
        <charset val="134"/>
      </rPr>
      <t>专业技术</t>
    </r>
  </si>
  <si>
    <r>
      <t>180065_</t>
    </r>
    <r>
      <rPr>
        <sz val="11"/>
        <color theme="1"/>
        <rFont val="宋体"/>
        <family val="3"/>
        <charset val="134"/>
      </rPr>
      <t>专业技术</t>
    </r>
  </si>
  <si>
    <r>
      <t>180066_</t>
    </r>
    <r>
      <rPr>
        <sz val="11"/>
        <color theme="1"/>
        <rFont val="宋体"/>
        <family val="3"/>
        <charset val="134"/>
      </rPr>
      <t>专业技术</t>
    </r>
  </si>
  <si>
    <r>
      <t>180069_</t>
    </r>
    <r>
      <rPr>
        <sz val="11"/>
        <color theme="1"/>
        <rFont val="宋体"/>
        <family val="3"/>
        <charset val="134"/>
      </rPr>
      <t>专业技术</t>
    </r>
  </si>
  <si>
    <r>
      <t>180070_</t>
    </r>
    <r>
      <rPr>
        <sz val="11"/>
        <color theme="1"/>
        <rFont val="宋体"/>
        <family val="3"/>
        <charset val="134"/>
      </rPr>
      <t>专业技术</t>
    </r>
  </si>
  <si>
    <r>
      <t>180071_</t>
    </r>
    <r>
      <rPr>
        <sz val="11"/>
        <color theme="1"/>
        <rFont val="宋体"/>
        <family val="3"/>
        <charset val="134"/>
      </rPr>
      <t>专业技术</t>
    </r>
  </si>
  <si>
    <r>
      <t>180072_</t>
    </r>
    <r>
      <rPr>
        <sz val="11"/>
        <color theme="1"/>
        <rFont val="宋体"/>
        <family val="3"/>
        <charset val="134"/>
      </rPr>
      <t>专业技术</t>
    </r>
  </si>
  <si>
    <r>
      <t>180074_</t>
    </r>
    <r>
      <rPr>
        <sz val="11"/>
        <color theme="1"/>
        <rFont val="宋体"/>
        <family val="3"/>
        <charset val="134"/>
      </rPr>
      <t>专业技术</t>
    </r>
  </si>
  <si>
    <r>
      <rPr>
        <b/>
        <sz val="11"/>
        <color theme="1"/>
        <rFont val="宋体"/>
        <family val="3"/>
        <charset val="134"/>
      </rPr>
      <t>报考岗位</t>
    </r>
  </si>
  <si>
    <r>
      <rPr>
        <b/>
        <sz val="11"/>
        <color theme="1"/>
        <rFont val="宋体"/>
        <family val="3"/>
        <charset val="134"/>
      </rPr>
      <t>性别</t>
    </r>
  </si>
  <si>
    <r>
      <rPr>
        <b/>
        <sz val="11"/>
        <color theme="1"/>
        <rFont val="宋体"/>
        <family val="3"/>
        <charset val="134"/>
      </rPr>
      <t>身份证号码</t>
    </r>
  </si>
  <si>
    <r>
      <rPr>
        <b/>
        <sz val="11"/>
        <color theme="1"/>
        <rFont val="宋体"/>
        <family val="3"/>
        <charset val="134"/>
      </rPr>
      <t>所学专业</t>
    </r>
  </si>
  <si>
    <r>
      <rPr>
        <b/>
        <sz val="11"/>
        <color theme="1"/>
        <rFont val="宋体"/>
        <family val="3"/>
        <charset val="134"/>
      </rPr>
      <t>准考证号</t>
    </r>
  </si>
  <si>
    <r>
      <rPr>
        <b/>
        <sz val="11"/>
        <color theme="1"/>
        <rFont val="宋体"/>
        <family val="3"/>
        <charset val="134"/>
      </rPr>
      <t>笔试综合成绩</t>
    </r>
    <phoneticPr fontId="1" type="noConversion"/>
  </si>
  <si>
    <r>
      <rPr>
        <b/>
        <sz val="11"/>
        <color theme="1"/>
        <rFont val="宋体"/>
        <family val="3"/>
        <charset val="134"/>
      </rPr>
      <t>备注</t>
    </r>
    <phoneticPr fontId="1" type="noConversion"/>
  </si>
  <si>
    <r>
      <t>2018</t>
    </r>
    <r>
      <rPr>
        <b/>
        <sz val="14"/>
        <rFont val="宋体"/>
        <family val="3"/>
        <charset val="134"/>
      </rPr>
      <t>年涡阳县县级公立医院公开招聘人员笔试成绩表</t>
    </r>
    <phoneticPr fontId="1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</si>
</sst>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4"/>
      <name val="Times New Roman"/>
      <family val="1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3"/>
  <sheetViews>
    <sheetView tabSelected="1" workbookViewId="0">
      <pane ySplit="2" topLeftCell="A3" activePane="bottomLeft" state="frozen"/>
      <selection activeCell="W1" sqref="W1"/>
      <selection pane="bottomLeft" activeCell="S12" sqref="S12"/>
    </sheetView>
  </sheetViews>
  <sheetFormatPr defaultColWidth="8.875" defaultRowHeight="18.75" customHeight="1"/>
  <cols>
    <col min="1" max="1" width="27.5" style="3" hidden="1" customWidth="1"/>
    <col min="2" max="2" width="16.375" style="3" customWidth="1"/>
    <col min="3" max="3" width="9" style="4" hidden="1" customWidth="1"/>
    <col min="4" max="4" width="20.875" style="4" hidden="1" customWidth="1"/>
    <col min="5" max="5" width="9" style="15" customWidth="1"/>
    <col min="6" max="6" width="11.875" style="4" customWidth="1"/>
    <col min="7" max="7" width="9.875" style="4" customWidth="1"/>
    <col min="8" max="8" width="10.25" style="5" customWidth="1"/>
    <col min="9" max="9" width="9.5" style="4" customWidth="1"/>
    <col min="10" max="10" width="11.375" style="4" customWidth="1"/>
    <col min="11" max="12" width="9" style="3" hidden="1" customWidth="1"/>
    <col min="13" max="16384" width="8.875" style="6"/>
  </cols>
  <sheetData>
    <row r="1" spans="1:12" ht="37.5" customHeight="1">
      <c r="B1" s="16" t="s">
        <v>43</v>
      </c>
      <c r="C1" s="16"/>
      <c r="D1" s="16"/>
      <c r="E1" s="16"/>
      <c r="F1" s="16"/>
      <c r="G1" s="16"/>
      <c r="H1" s="16"/>
      <c r="I1" s="16"/>
      <c r="J1" s="16"/>
    </row>
    <row r="2" spans="1:12" s="2" customFormat="1" ht="29.25" customHeight="1">
      <c r="A2" s="1" t="s">
        <v>0</v>
      </c>
      <c r="B2" s="12" t="s">
        <v>36</v>
      </c>
      <c r="C2" s="7" t="s">
        <v>37</v>
      </c>
      <c r="D2" s="7" t="s">
        <v>38</v>
      </c>
      <c r="E2" s="7" t="s">
        <v>39</v>
      </c>
      <c r="F2" s="7" t="s">
        <v>40</v>
      </c>
      <c r="G2" s="13" t="s">
        <v>3</v>
      </c>
      <c r="H2" s="7" t="s">
        <v>6</v>
      </c>
      <c r="I2" s="7" t="s">
        <v>41</v>
      </c>
      <c r="J2" s="7" t="s">
        <v>42</v>
      </c>
      <c r="K2" s="1" t="s">
        <v>1</v>
      </c>
      <c r="L2" s="1" t="s">
        <v>2</v>
      </c>
    </row>
    <row r="3" spans="1:12" ht="18.75" customHeight="1">
      <c r="A3" s="3" t="str">
        <f>"10522018022609405581624"</f>
        <v>10522018022609405581624</v>
      </c>
      <c r="B3" s="8" t="s">
        <v>7</v>
      </c>
      <c r="C3" s="9" t="str">
        <f>"男"</f>
        <v>男</v>
      </c>
      <c r="D3" s="9" t="str">
        <f>"341621198909105198"</f>
        <v>341621198909105198</v>
      </c>
      <c r="E3" s="14" t="str">
        <f t="shared" ref="E3:E34" si="0">"临床医学"</f>
        <v>临床医学</v>
      </c>
      <c r="F3" s="9" t="str">
        <f>"2018010226"</f>
        <v>2018010226</v>
      </c>
      <c r="G3" s="9">
        <v>55</v>
      </c>
      <c r="H3" s="9">
        <v>99</v>
      </c>
      <c r="I3" s="9">
        <f t="shared" ref="I3:I66" si="1">G3*0.3+H3*0.7</f>
        <v>85.8</v>
      </c>
      <c r="J3" s="9"/>
      <c r="K3" s="3">
        <v>2</v>
      </c>
      <c r="L3" s="3">
        <v>26</v>
      </c>
    </row>
    <row r="4" spans="1:12" ht="18.75" customHeight="1">
      <c r="A4" s="3" t="str">
        <f>"10522018022822182582760"</f>
        <v>10522018022822182582760</v>
      </c>
      <c r="B4" s="8" t="s">
        <v>7</v>
      </c>
      <c r="C4" s="9" t="str">
        <f>"男"</f>
        <v>男</v>
      </c>
      <c r="D4" s="9" t="str">
        <f>"341621199010181314"</f>
        <v>341621199010181314</v>
      </c>
      <c r="E4" s="14" t="str">
        <f t="shared" si="0"/>
        <v>临床医学</v>
      </c>
      <c r="F4" s="9" t="str">
        <f>"2018010303"</f>
        <v>2018010303</v>
      </c>
      <c r="G4" s="9">
        <v>74</v>
      </c>
      <c r="H4" s="9">
        <v>88</v>
      </c>
      <c r="I4" s="9">
        <f t="shared" si="1"/>
        <v>83.8</v>
      </c>
      <c r="J4" s="9"/>
      <c r="K4" s="3">
        <v>3</v>
      </c>
      <c r="L4" s="3">
        <v>3</v>
      </c>
    </row>
    <row r="5" spans="1:12" ht="18.75" customHeight="1">
      <c r="A5" s="3" t="str">
        <f>"10522018022721430982429"</f>
        <v>10522018022721430982429</v>
      </c>
      <c r="B5" s="8" t="s">
        <v>7</v>
      </c>
      <c r="C5" s="9" t="str">
        <f>"男"</f>
        <v>男</v>
      </c>
      <c r="D5" s="9" t="str">
        <f>"341223198804070970"</f>
        <v>341223198804070970</v>
      </c>
      <c r="E5" s="14" t="str">
        <f t="shared" si="0"/>
        <v>临床医学</v>
      </c>
      <c r="F5" s="9" t="str">
        <f>"2018010321"</f>
        <v>2018010321</v>
      </c>
      <c r="G5" s="9">
        <v>77</v>
      </c>
      <c r="H5" s="9">
        <v>84</v>
      </c>
      <c r="I5" s="9">
        <f t="shared" si="1"/>
        <v>81.899999999999991</v>
      </c>
      <c r="J5" s="9"/>
      <c r="K5" s="3">
        <v>3</v>
      </c>
      <c r="L5" s="3">
        <v>21</v>
      </c>
    </row>
    <row r="6" spans="1:12" ht="18.75" customHeight="1">
      <c r="A6" s="3" t="str">
        <f>"10522018022621011382078"</f>
        <v>10522018022621011382078</v>
      </c>
      <c r="B6" s="8" t="s">
        <v>7</v>
      </c>
      <c r="C6" s="9" t="str">
        <f>"女"</f>
        <v>女</v>
      </c>
      <c r="D6" s="9" t="str">
        <f>"341223199405202520"</f>
        <v>341223199405202520</v>
      </c>
      <c r="E6" s="14" t="str">
        <f t="shared" si="0"/>
        <v>临床医学</v>
      </c>
      <c r="F6" s="9" t="str">
        <f>"2018010230"</f>
        <v>2018010230</v>
      </c>
      <c r="G6" s="9">
        <v>74.5</v>
      </c>
      <c r="H6" s="9">
        <v>85</v>
      </c>
      <c r="I6" s="9">
        <f t="shared" si="1"/>
        <v>81.849999999999994</v>
      </c>
      <c r="J6" s="9"/>
      <c r="K6" s="3">
        <v>2</v>
      </c>
      <c r="L6" s="3">
        <v>30</v>
      </c>
    </row>
    <row r="7" spans="1:12" ht="18.75" customHeight="1">
      <c r="A7" s="3" t="str">
        <f>"10522018022813450382600"</f>
        <v>10522018022813450382600</v>
      </c>
      <c r="B7" s="8" t="s">
        <v>7</v>
      </c>
      <c r="C7" s="9" t="str">
        <f>"女"</f>
        <v>女</v>
      </c>
      <c r="D7" s="9" t="str">
        <f>"341227199506130728"</f>
        <v>341227199506130728</v>
      </c>
      <c r="E7" s="14" t="str">
        <f t="shared" si="0"/>
        <v>临床医学</v>
      </c>
      <c r="F7" s="9" t="str">
        <f>"2018010123"</f>
        <v>2018010123</v>
      </c>
      <c r="G7" s="9">
        <v>52</v>
      </c>
      <c r="H7" s="9">
        <v>93</v>
      </c>
      <c r="I7" s="9">
        <f t="shared" si="1"/>
        <v>80.699999999999989</v>
      </c>
      <c r="J7" s="9"/>
      <c r="K7" s="3">
        <v>1</v>
      </c>
      <c r="L7" s="3">
        <v>23</v>
      </c>
    </row>
    <row r="8" spans="1:12" ht="18.75" customHeight="1">
      <c r="A8" s="3" t="str">
        <f>"10522018022719063082353"</f>
        <v>10522018022719063082353</v>
      </c>
      <c r="B8" s="8" t="s">
        <v>7</v>
      </c>
      <c r="C8" s="9" t="str">
        <f>"男"</f>
        <v>男</v>
      </c>
      <c r="D8" s="9" t="str">
        <f>"341223199507103339"</f>
        <v>341223199507103339</v>
      </c>
      <c r="E8" s="14" t="str">
        <f t="shared" si="0"/>
        <v>临床医学</v>
      </c>
      <c r="F8" s="9" t="str">
        <f>"2018010210"</f>
        <v>2018010210</v>
      </c>
      <c r="G8" s="9">
        <v>74.5</v>
      </c>
      <c r="H8" s="9">
        <v>83</v>
      </c>
      <c r="I8" s="9">
        <f t="shared" si="1"/>
        <v>80.449999999999989</v>
      </c>
      <c r="J8" s="9"/>
      <c r="K8" s="3">
        <v>2</v>
      </c>
      <c r="L8" s="3">
        <v>10</v>
      </c>
    </row>
    <row r="9" spans="1:12" ht="18.75" customHeight="1">
      <c r="A9" s="3" t="str">
        <f>"10522018022613595081865"</f>
        <v>10522018022613595081865</v>
      </c>
      <c r="B9" s="8" t="s">
        <v>7</v>
      </c>
      <c r="C9" s="9" t="str">
        <f>"男"</f>
        <v>男</v>
      </c>
      <c r="D9" s="9" t="str">
        <f>"341223199509271918"</f>
        <v>341223199509271918</v>
      </c>
      <c r="E9" s="14" t="str">
        <f t="shared" si="0"/>
        <v>临床医学</v>
      </c>
      <c r="F9" s="9" t="str">
        <f>"2018010312"</f>
        <v>2018010312</v>
      </c>
      <c r="G9" s="9">
        <v>63</v>
      </c>
      <c r="H9" s="9">
        <v>87</v>
      </c>
      <c r="I9" s="9">
        <f t="shared" si="1"/>
        <v>79.8</v>
      </c>
      <c r="J9" s="9"/>
      <c r="K9" s="3">
        <v>3</v>
      </c>
      <c r="L9" s="3">
        <v>12</v>
      </c>
    </row>
    <row r="10" spans="1:12" ht="18.75" customHeight="1">
      <c r="A10" s="3" t="str">
        <f>"10522018022609104381584"</f>
        <v>10522018022609104381584</v>
      </c>
      <c r="B10" s="8" t="s">
        <v>7</v>
      </c>
      <c r="C10" s="9" t="str">
        <f>"男"</f>
        <v>男</v>
      </c>
      <c r="D10" s="9" t="str">
        <f>"341621199209115111"</f>
        <v>341621199209115111</v>
      </c>
      <c r="E10" s="14" t="str">
        <f t="shared" si="0"/>
        <v>临床医学</v>
      </c>
      <c r="F10" s="9" t="str">
        <f>"2018010127"</f>
        <v>2018010127</v>
      </c>
      <c r="G10" s="9">
        <v>57.5</v>
      </c>
      <c r="H10" s="9">
        <v>88</v>
      </c>
      <c r="I10" s="9">
        <f t="shared" si="1"/>
        <v>78.849999999999994</v>
      </c>
      <c r="J10" s="9"/>
      <c r="K10" s="3">
        <v>1</v>
      </c>
      <c r="L10" s="3">
        <v>27</v>
      </c>
    </row>
    <row r="11" spans="1:12" ht="18.75" customHeight="1">
      <c r="A11" s="3" t="str">
        <f>"10522018022720080282387"</f>
        <v>10522018022720080282387</v>
      </c>
      <c r="B11" s="8" t="s">
        <v>7</v>
      </c>
      <c r="C11" s="9" t="str">
        <f>"女"</f>
        <v>女</v>
      </c>
      <c r="D11" s="9" t="str">
        <f>"341621199611203726"</f>
        <v>341621199611203726</v>
      </c>
      <c r="E11" s="14" t="str">
        <f t="shared" si="0"/>
        <v>临床医学</v>
      </c>
      <c r="F11" s="9" t="str">
        <f>"2018010225"</f>
        <v>2018010225</v>
      </c>
      <c r="G11" s="9">
        <v>64.5</v>
      </c>
      <c r="H11" s="9">
        <v>85</v>
      </c>
      <c r="I11" s="9">
        <f t="shared" si="1"/>
        <v>78.849999999999994</v>
      </c>
      <c r="J11" s="9"/>
      <c r="K11" s="3">
        <v>2</v>
      </c>
      <c r="L11" s="3">
        <v>25</v>
      </c>
    </row>
    <row r="12" spans="1:12" ht="18.75" customHeight="1">
      <c r="A12" s="3" t="str">
        <f>"10522018030122153683044"</f>
        <v>10522018030122153683044</v>
      </c>
      <c r="B12" s="8" t="s">
        <v>7</v>
      </c>
      <c r="C12" s="9" t="str">
        <f>"女"</f>
        <v>女</v>
      </c>
      <c r="D12" s="9" t="str">
        <f>"341223198810125368"</f>
        <v>341223198810125368</v>
      </c>
      <c r="E12" s="14" t="str">
        <f t="shared" si="0"/>
        <v>临床医学</v>
      </c>
      <c r="F12" s="9" t="str">
        <f>"2018010119"</f>
        <v>2018010119</v>
      </c>
      <c r="G12" s="9">
        <v>70.5</v>
      </c>
      <c r="H12" s="9">
        <v>80</v>
      </c>
      <c r="I12" s="9">
        <f t="shared" si="1"/>
        <v>77.150000000000006</v>
      </c>
      <c r="J12" s="9"/>
      <c r="K12" s="3">
        <v>1</v>
      </c>
      <c r="L12" s="3">
        <v>19</v>
      </c>
    </row>
    <row r="13" spans="1:12" ht="18.75" customHeight="1">
      <c r="A13" s="3" t="str">
        <f>"10522018022818335482686"</f>
        <v>10522018022818335482686</v>
      </c>
      <c r="B13" s="8" t="s">
        <v>7</v>
      </c>
      <c r="C13" s="9" t="str">
        <f>"女"</f>
        <v>女</v>
      </c>
      <c r="D13" s="9" t="str">
        <f>"341281199007169028"</f>
        <v>341281199007169028</v>
      </c>
      <c r="E13" s="14" t="str">
        <f t="shared" si="0"/>
        <v>临床医学</v>
      </c>
      <c r="F13" s="9" t="str">
        <f>"2018010328"</f>
        <v>2018010328</v>
      </c>
      <c r="G13" s="9">
        <v>55</v>
      </c>
      <c r="H13" s="9">
        <v>86</v>
      </c>
      <c r="I13" s="9">
        <f t="shared" si="1"/>
        <v>76.699999999999989</v>
      </c>
      <c r="J13" s="9"/>
      <c r="K13" s="3">
        <v>3</v>
      </c>
      <c r="L13" s="3">
        <v>28</v>
      </c>
    </row>
    <row r="14" spans="1:12" ht="18.75" customHeight="1">
      <c r="A14" s="3" t="str">
        <f>"10522018022610350681688"</f>
        <v>10522018022610350681688</v>
      </c>
      <c r="B14" s="8" t="s">
        <v>7</v>
      </c>
      <c r="C14" s="9" t="str">
        <f>"女"</f>
        <v>女</v>
      </c>
      <c r="D14" s="9" t="str">
        <f>"341223199410043341"</f>
        <v>341223199410043341</v>
      </c>
      <c r="E14" s="14" t="str">
        <f t="shared" si="0"/>
        <v>临床医学</v>
      </c>
      <c r="F14" s="9" t="str">
        <f>"2018010313"</f>
        <v>2018010313</v>
      </c>
      <c r="G14" s="9">
        <v>73.5</v>
      </c>
      <c r="H14" s="9">
        <v>78</v>
      </c>
      <c r="I14" s="9">
        <f t="shared" si="1"/>
        <v>76.649999999999991</v>
      </c>
      <c r="J14" s="9"/>
      <c r="K14" s="3">
        <v>3</v>
      </c>
      <c r="L14" s="3">
        <v>13</v>
      </c>
    </row>
    <row r="15" spans="1:12" ht="18.75" customHeight="1">
      <c r="A15" s="3" t="str">
        <f>"10522018022610333381685"</f>
        <v>10522018022610333381685</v>
      </c>
      <c r="B15" s="8" t="s">
        <v>7</v>
      </c>
      <c r="C15" s="9" t="str">
        <f>"男"</f>
        <v>男</v>
      </c>
      <c r="D15" s="9" t="str">
        <f>"341227199303069015"</f>
        <v>341227199303069015</v>
      </c>
      <c r="E15" s="14" t="str">
        <f t="shared" si="0"/>
        <v>临床医学</v>
      </c>
      <c r="F15" s="9" t="str">
        <f>"2018010114"</f>
        <v>2018010114</v>
      </c>
      <c r="G15" s="9">
        <v>73</v>
      </c>
      <c r="H15" s="9">
        <v>78</v>
      </c>
      <c r="I15" s="9">
        <f t="shared" si="1"/>
        <v>76.5</v>
      </c>
      <c r="J15" s="9"/>
      <c r="K15" s="3">
        <v>1</v>
      </c>
      <c r="L15" s="3">
        <v>14</v>
      </c>
    </row>
    <row r="16" spans="1:12" ht="18.75" customHeight="1">
      <c r="A16" s="3" t="str">
        <f>"10522018030115592182941"</f>
        <v>10522018030115592182941</v>
      </c>
      <c r="B16" s="8" t="s">
        <v>7</v>
      </c>
      <c r="C16" s="9" t="str">
        <f>"男"</f>
        <v>男</v>
      </c>
      <c r="D16" s="9" t="str">
        <f>"341223199502010010"</f>
        <v>341223199502010010</v>
      </c>
      <c r="E16" s="14" t="str">
        <f t="shared" si="0"/>
        <v>临床医学</v>
      </c>
      <c r="F16" s="9" t="str">
        <f>"2018010102"</f>
        <v>2018010102</v>
      </c>
      <c r="G16" s="9">
        <v>58.5</v>
      </c>
      <c r="H16" s="9">
        <v>83</v>
      </c>
      <c r="I16" s="9">
        <f t="shared" si="1"/>
        <v>75.649999999999991</v>
      </c>
      <c r="J16" s="9"/>
      <c r="K16" s="3">
        <v>1</v>
      </c>
      <c r="L16" s="3">
        <v>2</v>
      </c>
    </row>
    <row r="17" spans="1:12" ht="18.75" customHeight="1">
      <c r="A17" s="3" t="str">
        <f>"10522018022614365881888"</f>
        <v>10522018022614365881888</v>
      </c>
      <c r="B17" s="8" t="s">
        <v>7</v>
      </c>
      <c r="C17" s="9" t="str">
        <f>"女"</f>
        <v>女</v>
      </c>
      <c r="D17" s="9" t="str">
        <f>"341621199509060087"</f>
        <v>341621199509060087</v>
      </c>
      <c r="E17" s="14" t="str">
        <f t="shared" si="0"/>
        <v>临床医学</v>
      </c>
      <c r="F17" s="9" t="str">
        <f>"2018010307"</f>
        <v>2018010307</v>
      </c>
      <c r="G17" s="9">
        <v>57.5</v>
      </c>
      <c r="H17" s="9">
        <v>83</v>
      </c>
      <c r="I17" s="9">
        <f t="shared" si="1"/>
        <v>75.349999999999994</v>
      </c>
      <c r="J17" s="9"/>
      <c r="K17" s="3">
        <v>3</v>
      </c>
      <c r="L17" s="3">
        <v>7</v>
      </c>
    </row>
    <row r="18" spans="1:12" ht="18.75" customHeight="1">
      <c r="A18" s="3" t="str">
        <f>"10522018022819401482716"</f>
        <v>10522018022819401482716</v>
      </c>
      <c r="B18" s="8" t="s">
        <v>7</v>
      </c>
      <c r="C18" s="9" t="str">
        <f>"女"</f>
        <v>女</v>
      </c>
      <c r="D18" s="9" t="str">
        <f>"34128119910117064X"</f>
        <v>34128119910117064X</v>
      </c>
      <c r="E18" s="14" t="str">
        <f t="shared" si="0"/>
        <v>临床医学</v>
      </c>
      <c r="F18" s="9" t="str">
        <f>"2018010118"</f>
        <v>2018010118</v>
      </c>
      <c r="G18" s="9">
        <v>59.5</v>
      </c>
      <c r="H18" s="9">
        <v>82</v>
      </c>
      <c r="I18" s="9">
        <f t="shared" si="1"/>
        <v>75.25</v>
      </c>
      <c r="J18" s="9"/>
      <c r="K18" s="3">
        <v>1</v>
      </c>
      <c r="L18" s="3">
        <v>18</v>
      </c>
    </row>
    <row r="19" spans="1:12" ht="18.75" customHeight="1">
      <c r="A19" s="3" t="str">
        <f>"10522018030211072883108"</f>
        <v>10522018030211072883108</v>
      </c>
      <c r="B19" s="8" t="s">
        <v>7</v>
      </c>
      <c r="C19" s="9" t="str">
        <f>"男"</f>
        <v>男</v>
      </c>
      <c r="D19" s="9" t="str">
        <f>"341223199112131714"</f>
        <v>341223199112131714</v>
      </c>
      <c r="E19" s="14" t="str">
        <f t="shared" si="0"/>
        <v>临床医学</v>
      </c>
      <c r="F19" s="9" t="str">
        <f>"2018010327"</f>
        <v>2018010327</v>
      </c>
      <c r="G19" s="9">
        <v>57</v>
      </c>
      <c r="H19" s="9">
        <v>83</v>
      </c>
      <c r="I19" s="9">
        <f t="shared" si="1"/>
        <v>75.199999999999989</v>
      </c>
      <c r="J19" s="9"/>
      <c r="K19" s="3">
        <v>3</v>
      </c>
      <c r="L19" s="3">
        <v>27</v>
      </c>
    </row>
    <row r="20" spans="1:12" ht="18.75" customHeight="1">
      <c r="A20" s="3" t="str">
        <f>"10522018022809464282492"</f>
        <v>10522018022809464282492</v>
      </c>
      <c r="B20" s="8" t="s">
        <v>7</v>
      </c>
      <c r="C20" s="9" t="str">
        <f>"男"</f>
        <v>男</v>
      </c>
      <c r="D20" s="9" t="str">
        <f>"341621199310165156"</f>
        <v>341621199310165156</v>
      </c>
      <c r="E20" s="14" t="str">
        <f t="shared" si="0"/>
        <v>临床医学</v>
      </c>
      <c r="F20" s="9" t="str">
        <f>"2018010228"</f>
        <v>2018010228</v>
      </c>
      <c r="G20" s="9">
        <v>59.5</v>
      </c>
      <c r="H20" s="9">
        <v>81</v>
      </c>
      <c r="I20" s="9">
        <f t="shared" si="1"/>
        <v>74.55</v>
      </c>
      <c r="J20" s="9"/>
      <c r="K20" s="3">
        <v>2</v>
      </c>
      <c r="L20" s="3">
        <v>28</v>
      </c>
    </row>
    <row r="21" spans="1:12" ht="18.75" customHeight="1">
      <c r="A21" s="3" t="str">
        <f>"10522018022809315582486"</f>
        <v>10522018022809315582486</v>
      </c>
      <c r="B21" s="8" t="s">
        <v>7</v>
      </c>
      <c r="C21" s="9" t="str">
        <f>"女"</f>
        <v>女</v>
      </c>
      <c r="D21" s="9" t="str">
        <f>"34128119930910422X"</f>
        <v>34128119930910422X</v>
      </c>
      <c r="E21" s="14" t="str">
        <f t="shared" si="0"/>
        <v>临床医学</v>
      </c>
      <c r="F21" s="9" t="str">
        <f>"2018010110"</f>
        <v>2018010110</v>
      </c>
      <c r="G21" s="9">
        <v>60.5</v>
      </c>
      <c r="H21" s="9">
        <v>80</v>
      </c>
      <c r="I21" s="9">
        <f t="shared" si="1"/>
        <v>74.150000000000006</v>
      </c>
      <c r="J21" s="9"/>
      <c r="K21" s="3">
        <v>1</v>
      </c>
      <c r="L21" s="3">
        <v>10</v>
      </c>
    </row>
    <row r="22" spans="1:12" ht="18.75" customHeight="1">
      <c r="A22" s="3" t="str">
        <f>"10522018022621361282088"</f>
        <v>10522018022621361282088</v>
      </c>
      <c r="B22" s="8" t="s">
        <v>7</v>
      </c>
      <c r="C22" s="9" t="str">
        <f>"女"</f>
        <v>女</v>
      </c>
      <c r="D22" s="9" t="str">
        <f>"341281199503270184"</f>
        <v>341281199503270184</v>
      </c>
      <c r="E22" s="14" t="str">
        <f t="shared" si="0"/>
        <v>临床医学</v>
      </c>
      <c r="F22" s="9" t="str">
        <f>"2018010107"</f>
        <v>2018010107</v>
      </c>
      <c r="G22" s="9">
        <v>55</v>
      </c>
      <c r="H22" s="9">
        <v>82</v>
      </c>
      <c r="I22" s="9">
        <f t="shared" si="1"/>
        <v>73.900000000000006</v>
      </c>
      <c r="J22" s="9"/>
      <c r="K22" s="3">
        <v>1</v>
      </c>
      <c r="L22" s="3">
        <v>7</v>
      </c>
    </row>
    <row r="23" spans="1:12" ht="18.75" customHeight="1">
      <c r="A23" s="3" t="str">
        <f>"10522018022614194381877"</f>
        <v>10522018022614194381877</v>
      </c>
      <c r="B23" s="8" t="s">
        <v>7</v>
      </c>
      <c r="C23" s="9" t="str">
        <f>"男"</f>
        <v>男</v>
      </c>
      <c r="D23" s="9" t="str">
        <f>"341223199601300216"</f>
        <v>341223199601300216</v>
      </c>
      <c r="E23" s="14" t="str">
        <f t="shared" si="0"/>
        <v>临床医学</v>
      </c>
      <c r="F23" s="9" t="str">
        <f>"2018010105"</f>
        <v>2018010105</v>
      </c>
      <c r="G23" s="9">
        <v>66</v>
      </c>
      <c r="H23" s="9">
        <v>77</v>
      </c>
      <c r="I23" s="9">
        <f t="shared" si="1"/>
        <v>73.7</v>
      </c>
      <c r="J23" s="9"/>
      <c r="K23" s="3">
        <v>1</v>
      </c>
      <c r="L23" s="3">
        <v>5</v>
      </c>
    </row>
    <row r="24" spans="1:12" ht="18.75" customHeight="1">
      <c r="A24" s="3" t="str">
        <f>"10522018030213560583149"</f>
        <v>10522018030213560583149</v>
      </c>
      <c r="B24" s="8" t="s">
        <v>7</v>
      </c>
      <c r="C24" s="9" t="str">
        <f>"女"</f>
        <v>女</v>
      </c>
      <c r="D24" s="9" t="str">
        <f>"341223199501130029"</f>
        <v>341223199501130029</v>
      </c>
      <c r="E24" s="14" t="str">
        <f t="shared" si="0"/>
        <v>临床医学</v>
      </c>
      <c r="F24" s="9" t="str">
        <f>"2018010311"</f>
        <v>2018010311</v>
      </c>
      <c r="G24" s="9">
        <v>52</v>
      </c>
      <c r="H24" s="9">
        <v>83</v>
      </c>
      <c r="I24" s="9">
        <f t="shared" si="1"/>
        <v>73.699999999999989</v>
      </c>
      <c r="J24" s="9"/>
      <c r="K24" s="3">
        <v>3</v>
      </c>
      <c r="L24" s="3">
        <v>11</v>
      </c>
    </row>
    <row r="25" spans="1:12" ht="18.75" customHeight="1">
      <c r="A25" s="3" t="str">
        <f>"10522018022609181781597"</f>
        <v>10522018022609181781597</v>
      </c>
      <c r="B25" s="8" t="s">
        <v>7</v>
      </c>
      <c r="C25" s="9" t="str">
        <f>"女"</f>
        <v>女</v>
      </c>
      <c r="D25" s="9" t="str">
        <f>"341224198807066164"</f>
        <v>341224198807066164</v>
      </c>
      <c r="E25" s="14" t="str">
        <f t="shared" si="0"/>
        <v>临床医学</v>
      </c>
      <c r="F25" s="9" t="str">
        <f>"2018010121"</f>
        <v>2018010121</v>
      </c>
      <c r="G25" s="9">
        <v>51.5</v>
      </c>
      <c r="H25" s="9">
        <v>83</v>
      </c>
      <c r="I25" s="9">
        <f t="shared" si="1"/>
        <v>73.55</v>
      </c>
      <c r="J25" s="9"/>
      <c r="K25" s="3">
        <v>1</v>
      </c>
      <c r="L25" s="3">
        <v>21</v>
      </c>
    </row>
    <row r="26" spans="1:12" ht="18.75" customHeight="1">
      <c r="A26" s="3" t="str">
        <f>"10522018022615454381927"</f>
        <v>10522018022615454381927</v>
      </c>
      <c r="B26" s="8" t="s">
        <v>7</v>
      </c>
      <c r="C26" s="9" t="str">
        <f>"男"</f>
        <v>男</v>
      </c>
      <c r="D26" s="9" t="str">
        <f>"341621199412270010"</f>
        <v>341621199412270010</v>
      </c>
      <c r="E26" s="14" t="str">
        <f t="shared" si="0"/>
        <v>临床医学</v>
      </c>
      <c r="F26" s="9" t="str">
        <f>"2018013606"</f>
        <v>2018013606</v>
      </c>
      <c r="G26" s="9">
        <v>58</v>
      </c>
      <c r="H26" s="9">
        <v>80</v>
      </c>
      <c r="I26" s="9">
        <f t="shared" si="1"/>
        <v>73.400000000000006</v>
      </c>
      <c r="J26" s="9"/>
      <c r="K26" s="3">
        <v>36</v>
      </c>
      <c r="L26" s="3">
        <v>6</v>
      </c>
    </row>
    <row r="27" spans="1:12" ht="18.75" customHeight="1">
      <c r="A27" s="3" t="str">
        <f>"10522018022613232981840"</f>
        <v>10522018022613232981840</v>
      </c>
      <c r="B27" s="8" t="s">
        <v>7</v>
      </c>
      <c r="C27" s="9" t="str">
        <f>"男"</f>
        <v>男</v>
      </c>
      <c r="D27" s="9" t="str">
        <f>"341227199101137016"</f>
        <v>341227199101137016</v>
      </c>
      <c r="E27" s="14" t="str">
        <f t="shared" si="0"/>
        <v>临床医学</v>
      </c>
      <c r="F27" s="9" t="str">
        <f>"2018010214"</f>
        <v>2018010214</v>
      </c>
      <c r="G27" s="9">
        <v>62.5</v>
      </c>
      <c r="H27" s="9">
        <v>78</v>
      </c>
      <c r="I27" s="9">
        <f t="shared" si="1"/>
        <v>73.349999999999994</v>
      </c>
      <c r="J27" s="9"/>
      <c r="K27" s="3">
        <v>2</v>
      </c>
      <c r="L27" s="3">
        <v>14</v>
      </c>
    </row>
    <row r="28" spans="1:12" ht="18.75" customHeight="1">
      <c r="A28" s="3" t="str">
        <f>"10522018022618065182001"</f>
        <v>10522018022618065182001</v>
      </c>
      <c r="B28" s="8" t="s">
        <v>7</v>
      </c>
      <c r="C28" s="9" t="str">
        <f>"男"</f>
        <v>男</v>
      </c>
      <c r="D28" s="9" t="str">
        <f>"341281199010302117"</f>
        <v>341281199010302117</v>
      </c>
      <c r="E28" s="14" t="str">
        <f t="shared" si="0"/>
        <v>临床医学</v>
      </c>
      <c r="F28" s="9" t="str">
        <f>"2018010324"</f>
        <v>2018010324</v>
      </c>
      <c r="G28" s="9">
        <v>57</v>
      </c>
      <c r="H28" s="9">
        <v>80</v>
      </c>
      <c r="I28" s="9">
        <f t="shared" si="1"/>
        <v>73.099999999999994</v>
      </c>
      <c r="J28" s="9"/>
      <c r="K28" s="3">
        <v>3</v>
      </c>
      <c r="L28" s="3">
        <v>24</v>
      </c>
    </row>
    <row r="29" spans="1:12" ht="18.75" customHeight="1">
      <c r="A29" s="3" t="str">
        <f>"10522018022610292081678"</f>
        <v>10522018022610292081678</v>
      </c>
      <c r="B29" s="8" t="s">
        <v>7</v>
      </c>
      <c r="C29" s="9" t="str">
        <f>"女"</f>
        <v>女</v>
      </c>
      <c r="D29" s="9" t="str">
        <f>"341621199508121925"</f>
        <v>341621199508121925</v>
      </c>
      <c r="E29" s="14" t="str">
        <f t="shared" si="0"/>
        <v>临床医学</v>
      </c>
      <c r="F29" s="9" t="str">
        <f>"2018010304"</f>
        <v>2018010304</v>
      </c>
      <c r="G29" s="9">
        <v>57.5</v>
      </c>
      <c r="H29" s="9">
        <v>79</v>
      </c>
      <c r="I29" s="9">
        <f t="shared" si="1"/>
        <v>72.55</v>
      </c>
      <c r="J29" s="9"/>
      <c r="K29" s="3">
        <v>3</v>
      </c>
      <c r="L29" s="3">
        <v>4</v>
      </c>
    </row>
    <row r="30" spans="1:12" ht="18.75" customHeight="1">
      <c r="A30" s="3" t="str">
        <f>"10522018022615173881913"</f>
        <v>10522018022615173881913</v>
      </c>
      <c r="B30" s="8" t="s">
        <v>7</v>
      </c>
      <c r="C30" s="9" t="str">
        <f>"女"</f>
        <v>女</v>
      </c>
      <c r="D30" s="9" t="str">
        <f>"341223199402100529"</f>
        <v>341223199402100529</v>
      </c>
      <c r="E30" s="14" t="str">
        <f t="shared" si="0"/>
        <v>临床医学</v>
      </c>
      <c r="F30" s="9" t="str">
        <f>"2018010216"</f>
        <v>2018010216</v>
      </c>
      <c r="G30" s="9">
        <v>50</v>
      </c>
      <c r="H30" s="9">
        <v>82</v>
      </c>
      <c r="I30" s="9">
        <f t="shared" si="1"/>
        <v>72.400000000000006</v>
      </c>
      <c r="J30" s="9"/>
      <c r="K30" s="3">
        <v>2</v>
      </c>
      <c r="L30" s="3">
        <v>16</v>
      </c>
    </row>
    <row r="31" spans="1:12" ht="18.75" customHeight="1">
      <c r="A31" s="3" t="str">
        <f>"10522018022613570781862"</f>
        <v>10522018022613570781862</v>
      </c>
      <c r="B31" s="8" t="s">
        <v>7</v>
      </c>
      <c r="C31" s="9" t="str">
        <f>"男"</f>
        <v>男</v>
      </c>
      <c r="D31" s="9" t="str">
        <f>"341281199410160015"</f>
        <v>341281199410160015</v>
      </c>
      <c r="E31" s="14" t="str">
        <f t="shared" si="0"/>
        <v>临床医学</v>
      </c>
      <c r="F31" s="9" t="str">
        <f>"2018010309"</f>
        <v>2018010309</v>
      </c>
      <c r="G31" s="9">
        <v>70</v>
      </c>
      <c r="H31" s="9">
        <v>73</v>
      </c>
      <c r="I31" s="9">
        <f t="shared" si="1"/>
        <v>72.099999999999994</v>
      </c>
      <c r="J31" s="9"/>
      <c r="K31" s="3">
        <v>3</v>
      </c>
      <c r="L31" s="3">
        <v>9</v>
      </c>
    </row>
    <row r="32" spans="1:12" ht="18.75" customHeight="1">
      <c r="A32" s="3" t="str">
        <f>"10522018022609072081578"</f>
        <v>10522018022609072081578</v>
      </c>
      <c r="B32" s="8" t="s">
        <v>7</v>
      </c>
      <c r="C32" s="9" t="str">
        <f>"男"</f>
        <v>男</v>
      </c>
      <c r="D32" s="9" t="str">
        <f>"341223199308020717"</f>
        <v>341223199308020717</v>
      </c>
      <c r="E32" s="14" t="str">
        <f t="shared" si="0"/>
        <v>临床医学</v>
      </c>
      <c r="F32" s="9" t="str">
        <f>"2018010322"</f>
        <v>2018010322</v>
      </c>
      <c r="G32" s="9">
        <v>67.5</v>
      </c>
      <c r="H32" s="9">
        <v>74</v>
      </c>
      <c r="I32" s="9">
        <f t="shared" si="1"/>
        <v>72.05</v>
      </c>
      <c r="J32" s="9"/>
      <c r="K32" s="3">
        <v>3</v>
      </c>
      <c r="L32" s="3">
        <v>22</v>
      </c>
    </row>
    <row r="33" spans="1:12" ht="18.75" customHeight="1">
      <c r="A33" s="3" t="str">
        <f>"10522018030118523982997"</f>
        <v>10522018030118523982997</v>
      </c>
      <c r="B33" s="8" t="s">
        <v>7</v>
      </c>
      <c r="C33" s="9" t="str">
        <f>"女"</f>
        <v>女</v>
      </c>
      <c r="D33" s="9" t="str">
        <f>"341281199402154221"</f>
        <v>341281199402154221</v>
      </c>
      <c r="E33" s="14" t="str">
        <f t="shared" si="0"/>
        <v>临床医学</v>
      </c>
      <c r="F33" s="9" t="str">
        <f>"2018010217"</f>
        <v>2018010217</v>
      </c>
      <c r="G33" s="9">
        <v>50.5</v>
      </c>
      <c r="H33" s="9">
        <v>81</v>
      </c>
      <c r="I33" s="9">
        <f t="shared" si="1"/>
        <v>71.849999999999994</v>
      </c>
      <c r="J33" s="9"/>
      <c r="K33" s="3">
        <v>2</v>
      </c>
      <c r="L33" s="3">
        <v>17</v>
      </c>
    </row>
    <row r="34" spans="1:12" ht="18.75" customHeight="1">
      <c r="A34" s="3" t="str">
        <f>"10522018030210292883104"</f>
        <v>10522018030210292883104</v>
      </c>
      <c r="B34" s="8" t="s">
        <v>7</v>
      </c>
      <c r="C34" s="9" t="str">
        <f>"女"</f>
        <v>女</v>
      </c>
      <c r="D34" s="9" t="str">
        <f>"341623199404228325"</f>
        <v>341623199404228325</v>
      </c>
      <c r="E34" s="14" t="str">
        <f t="shared" si="0"/>
        <v>临床医学</v>
      </c>
      <c r="F34" s="9" t="str">
        <f>"2018010201"</f>
        <v>2018010201</v>
      </c>
      <c r="G34" s="9">
        <v>52</v>
      </c>
      <c r="H34" s="9">
        <v>80</v>
      </c>
      <c r="I34" s="9">
        <f t="shared" si="1"/>
        <v>71.599999999999994</v>
      </c>
      <c r="J34" s="9"/>
      <c r="K34" s="3">
        <v>2</v>
      </c>
      <c r="L34" s="3">
        <v>1</v>
      </c>
    </row>
    <row r="35" spans="1:12" ht="18.75" customHeight="1">
      <c r="A35" s="3" t="str">
        <f>"10522018022616501181965"</f>
        <v>10522018022616501181965</v>
      </c>
      <c r="B35" s="8" t="s">
        <v>7</v>
      </c>
      <c r="C35" s="9" t="str">
        <f>"男"</f>
        <v>男</v>
      </c>
      <c r="D35" s="9" t="str">
        <f>"341227199202141073"</f>
        <v>341227199202141073</v>
      </c>
      <c r="E35" s="14" t="str">
        <f t="shared" ref="E35:E66" si="2">"临床医学"</f>
        <v>临床医学</v>
      </c>
      <c r="F35" s="9" t="str">
        <f>"2018010113"</f>
        <v>2018010113</v>
      </c>
      <c r="G35" s="9">
        <v>60.5</v>
      </c>
      <c r="H35" s="9">
        <v>76</v>
      </c>
      <c r="I35" s="9">
        <f t="shared" si="1"/>
        <v>71.349999999999994</v>
      </c>
      <c r="J35" s="9"/>
      <c r="K35" s="3">
        <v>1</v>
      </c>
      <c r="L35" s="3">
        <v>13</v>
      </c>
    </row>
    <row r="36" spans="1:12" ht="18.75" customHeight="1">
      <c r="A36" s="3" t="str">
        <f>"10522018022717542482320"</f>
        <v>10522018022717542482320</v>
      </c>
      <c r="B36" s="8" t="s">
        <v>7</v>
      </c>
      <c r="C36" s="9" t="str">
        <f>"女"</f>
        <v>女</v>
      </c>
      <c r="D36" s="9" t="str">
        <f>"341227199105056125"</f>
        <v>341227199105056125</v>
      </c>
      <c r="E36" s="14" t="str">
        <f t="shared" si="2"/>
        <v>临床医学</v>
      </c>
      <c r="F36" s="9" t="str">
        <f>"2018010319"</f>
        <v>2018010319</v>
      </c>
      <c r="G36" s="9">
        <v>55.5</v>
      </c>
      <c r="H36" s="9">
        <v>78</v>
      </c>
      <c r="I36" s="9">
        <f t="shared" si="1"/>
        <v>71.25</v>
      </c>
      <c r="J36" s="9"/>
      <c r="K36" s="3">
        <v>3</v>
      </c>
      <c r="L36" s="3">
        <v>19</v>
      </c>
    </row>
    <row r="37" spans="1:12" ht="18.75" customHeight="1">
      <c r="A37" s="3" t="str">
        <f>"10522018022716533682309"</f>
        <v>10522018022716533682309</v>
      </c>
      <c r="B37" s="8" t="s">
        <v>7</v>
      </c>
      <c r="C37" s="9" t="str">
        <f>"女"</f>
        <v>女</v>
      </c>
      <c r="D37" s="9" t="str">
        <f>"341223199609053926"</f>
        <v>341223199609053926</v>
      </c>
      <c r="E37" s="14" t="str">
        <f t="shared" si="2"/>
        <v>临床医学</v>
      </c>
      <c r="F37" s="9" t="str">
        <f>"2018010213"</f>
        <v>2018010213</v>
      </c>
      <c r="G37" s="9">
        <v>65.5</v>
      </c>
      <c r="H37" s="9">
        <v>73</v>
      </c>
      <c r="I37" s="9">
        <f t="shared" si="1"/>
        <v>70.75</v>
      </c>
      <c r="J37" s="9"/>
      <c r="K37" s="3">
        <v>2</v>
      </c>
      <c r="L37" s="3">
        <v>13</v>
      </c>
    </row>
    <row r="38" spans="1:12" ht="18.75" customHeight="1">
      <c r="A38" s="3" t="str">
        <f>"10522018030117435082973"</f>
        <v>10522018030117435082973</v>
      </c>
      <c r="B38" s="8" t="s">
        <v>7</v>
      </c>
      <c r="C38" s="9" t="str">
        <f>"男"</f>
        <v>男</v>
      </c>
      <c r="D38" s="9" t="str">
        <f>"341281199212016135"</f>
        <v>341281199212016135</v>
      </c>
      <c r="E38" s="14" t="str">
        <f t="shared" si="2"/>
        <v>临床医学</v>
      </c>
      <c r="F38" s="9" t="str">
        <f>"2018010220"</f>
        <v>2018010220</v>
      </c>
      <c r="G38" s="9">
        <v>48</v>
      </c>
      <c r="H38" s="9">
        <v>80</v>
      </c>
      <c r="I38" s="9">
        <f t="shared" si="1"/>
        <v>70.400000000000006</v>
      </c>
      <c r="J38" s="9"/>
      <c r="K38" s="3">
        <v>2</v>
      </c>
      <c r="L38" s="3">
        <v>20</v>
      </c>
    </row>
    <row r="39" spans="1:12" ht="18.75" customHeight="1">
      <c r="A39" s="3" t="str">
        <f>"10522018022615375381922"</f>
        <v>10522018022615375381922</v>
      </c>
      <c r="B39" s="8" t="s">
        <v>7</v>
      </c>
      <c r="C39" s="9" t="str">
        <f>"男"</f>
        <v>男</v>
      </c>
      <c r="D39" s="9" t="str">
        <f>"341224199310160918"</f>
        <v>341224199310160918</v>
      </c>
      <c r="E39" s="14" t="str">
        <f t="shared" si="2"/>
        <v>临床医学</v>
      </c>
      <c r="F39" s="9" t="str">
        <f>"2018010325"</f>
        <v>2018010325</v>
      </c>
      <c r="G39" s="9">
        <v>52.5</v>
      </c>
      <c r="H39" s="9">
        <v>78</v>
      </c>
      <c r="I39" s="9">
        <f t="shared" si="1"/>
        <v>70.349999999999994</v>
      </c>
      <c r="J39" s="9"/>
      <c r="K39" s="3">
        <v>3</v>
      </c>
      <c r="L39" s="3">
        <v>25</v>
      </c>
    </row>
    <row r="40" spans="1:12" ht="18.75" customHeight="1">
      <c r="A40" s="3" t="str">
        <f>"10522018022812074982556"</f>
        <v>10522018022812074982556</v>
      </c>
      <c r="B40" s="8" t="s">
        <v>7</v>
      </c>
      <c r="C40" s="9" t="str">
        <f>"男"</f>
        <v>男</v>
      </c>
      <c r="D40" s="9" t="str">
        <f>"342222199004152053"</f>
        <v>342222199004152053</v>
      </c>
      <c r="E40" s="14" t="str">
        <f t="shared" si="2"/>
        <v>临床医学</v>
      </c>
      <c r="F40" s="9" t="str">
        <f>"2018010310"</f>
        <v>2018010310</v>
      </c>
      <c r="G40" s="9">
        <v>44.5</v>
      </c>
      <c r="H40" s="9">
        <v>80</v>
      </c>
      <c r="I40" s="9">
        <f t="shared" si="1"/>
        <v>69.349999999999994</v>
      </c>
      <c r="J40" s="9"/>
      <c r="K40" s="3">
        <v>3</v>
      </c>
      <c r="L40" s="3">
        <v>10</v>
      </c>
    </row>
    <row r="41" spans="1:12" ht="18.75" customHeight="1">
      <c r="A41" s="3" t="str">
        <f>"10522018022612123881779"</f>
        <v>10522018022612123881779</v>
      </c>
      <c r="B41" s="8" t="s">
        <v>7</v>
      </c>
      <c r="C41" s="9" t="str">
        <f>"男"</f>
        <v>男</v>
      </c>
      <c r="D41" s="9" t="str">
        <f>"341621199309105316"</f>
        <v>341621199309105316</v>
      </c>
      <c r="E41" s="14" t="str">
        <f t="shared" si="2"/>
        <v>临床医学</v>
      </c>
      <c r="F41" s="9" t="str">
        <f>"2018010316"</f>
        <v>2018010316</v>
      </c>
      <c r="G41" s="9">
        <v>62.5</v>
      </c>
      <c r="H41" s="9">
        <v>72</v>
      </c>
      <c r="I41" s="9">
        <f t="shared" si="1"/>
        <v>69.150000000000006</v>
      </c>
      <c r="J41" s="9"/>
      <c r="K41" s="3">
        <v>3</v>
      </c>
      <c r="L41" s="3">
        <v>16</v>
      </c>
    </row>
    <row r="42" spans="1:12" ht="18.75" customHeight="1">
      <c r="A42" s="3" t="str">
        <f>"10522018022613181981833"</f>
        <v>10522018022613181981833</v>
      </c>
      <c r="B42" s="8" t="s">
        <v>7</v>
      </c>
      <c r="C42" s="9" t="str">
        <f>"男"</f>
        <v>男</v>
      </c>
      <c r="D42" s="9" t="str">
        <f>"342423199308125094"</f>
        <v>342423199308125094</v>
      </c>
      <c r="E42" s="14" t="str">
        <f t="shared" si="2"/>
        <v>临床医学</v>
      </c>
      <c r="F42" s="9" t="str">
        <f>"2018013604"</f>
        <v>2018013604</v>
      </c>
      <c r="G42" s="9">
        <v>52.5</v>
      </c>
      <c r="H42" s="9">
        <v>76</v>
      </c>
      <c r="I42" s="9">
        <f t="shared" si="1"/>
        <v>68.949999999999989</v>
      </c>
      <c r="J42" s="9"/>
      <c r="K42" s="3">
        <v>36</v>
      </c>
      <c r="L42" s="3">
        <v>4</v>
      </c>
    </row>
    <row r="43" spans="1:12" ht="18.75" customHeight="1">
      <c r="A43" s="3" t="str">
        <f>"10522018022718570382346"</f>
        <v>10522018022718570382346</v>
      </c>
      <c r="B43" s="8" t="s">
        <v>7</v>
      </c>
      <c r="C43" s="9" t="str">
        <f>"女"</f>
        <v>女</v>
      </c>
      <c r="D43" s="9" t="str">
        <f>"341223199505122325"</f>
        <v>341223199505122325</v>
      </c>
      <c r="E43" s="14" t="str">
        <f t="shared" si="2"/>
        <v>临床医学</v>
      </c>
      <c r="F43" s="9" t="str">
        <f>"2018010130"</f>
        <v>2018010130</v>
      </c>
      <c r="G43" s="9">
        <v>47.5</v>
      </c>
      <c r="H43" s="9">
        <v>78</v>
      </c>
      <c r="I43" s="9">
        <f t="shared" si="1"/>
        <v>68.849999999999994</v>
      </c>
      <c r="J43" s="9"/>
      <c r="K43" s="3">
        <v>1</v>
      </c>
      <c r="L43" s="3">
        <v>30</v>
      </c>
    </row>
    <row r="44" spans="1:12" ht="18.75" customHeight="1">
      <c r="A44" s="3" t="str">
        <f>"10522018022612512881813"</f>
        <v>10522018022612512881813</v>
      </c>
      <c r="B44" s="8" t="s">
        <v>7</v>
      </c>
      <c r="C44" s="9" t="str">
        <f>"男"</f>
        <v>男</v>
      </c>
      <c r="D44" s="9" t="str">
        <f>"341621199211262516"</f>
        <v>341621199211262516</v>
      </c>
      <c r="E44" s="14" t="str">
        <f t="shared" si="2"/>
        <v>临床医学</v>
      </c>
      <c r="F44" s="9" t="str">
        <f>"2018010101"</f>
        <v>2018010101</v>
      </c>
      <c r="G44" s="9">
        <v>52.5</v>
      </c>
      <c r="H44" s="9">
        <v>75</v>
      </c>
      <c r="I44" s="9">
        <f t="shared" si="1"/>
        <v>68.25</v>
      </c>
      <c r="J44" s="9"/>
      <c r="K44" s="3">
        <v>1</v>
      </c>
      <c r="L44" s="3">
        <v>1</v>
      </c>
    </row>
    <row r="45" spans="1:12" ht="18.75" customHeight="1">
      <c r="A45" s="3" t="str">
        <f>"10522018022617493481995"</f>
        <v>10522018022617493481995</v>
      </c>
      <c r="B45" s="8" t="s">
        <v>7</v>
      </c>
      <c r="C45" s="9" t="str">
        <f>"男"</f>
        <v>男</v>
      </c>
      <c r="D45" s="9" t="str">
        <f>"341223199303221712"</f>
        <v>341223199303221712</v>
      </c>
      <c r="E45" s="14" t="str">
        <f t="shared" si="2"/>
        <v>临床医学</v>
      </c>
      <c r="F45" s="9" t="str">
        <f>"2018010318"</f>
        <v>2018010318</v>
      </c>
      <c r="G45" s="9">
        <v>50</v>
      </c>
      <c r="H45" s="9">
        <v>76</v>
      </c>
      <c r="I45" s="9">
        <f t="shared" si="1"/>
        <v>68.199999999999989</v>
      </c>
      <c r="J45" s="9"/>
      <c r="K45" s="3">
        <v>3</v>
      </c>
      <c r="L45" s="3">
        <v>18</v>
      </c>
    </row>
    <row r="46" spans="1:12" ht="18.75" customHeight="1">
      <c r="A46" s="3" t="str">
        <f>"10522018022621024482079"</f>
        <v>10522018022621024482079</v>
      </c>
      <c r="B46" s="8" t="s">
        <v>7</v>
      </c>
      <c r="C46" s="9" t="str">
        <f>"女"</f>
        <v>女</v>
      </c>
      <c r="D46" s="9" t="str">
        <f>"341621199306301522"</f>
        <v>341621199306301522</v>
      </c>
      <c r="E46" s="14" t="str">
        <f t="shared" si="2"/>
        <v>临床医学</v>
      </c>
      <c r="F46" s="9" t="str">
        <f>"2018010206"</f>
        <v>2018010206</v>
      </c>
      <c r="G46" s="9">
        <v>53</v>
      </c>
      <c r="H46" s="9">
        <v>74</v>
      </c>
      <c r="I46" s="9">
        <f t="shared" si="1"/>
        <v>67.699999999999989</v>
      </c>
      <c r="J46" s="9"/>
      <c r="K46" s="3">
        <v>2</v>
      </c>
      <c r="L46" s="3">
        <v>6</v>
      </c>
    </row>
    <row r="47" spans="1:12" ht="18.75" customHeight="1">
      <c r="A47" s="3" t="str">
        <f>"10522018022611063981735"</f>
        <v>10522018022611063981735</v>
      </c>
      <c r="B47" s="8" t="s">
        <v>7</v>
      </c>
      <c r="C47" s="9" t="str">
        <f>"男"</f>
        <v>男</v>
      </c>
      <c r="D47" s="9" t="str">
        <f>"341621199301074316"</f>
        <v>341621199301074316</v>
      </c>
      <c r="E47" s="14" t="str">
        <f t="shared" si="2"/>
        <v>临床医学</v>
      </c>
      <c r="F47" s="9" t="str">
        <f>"2018010317"</f>
        <v>2018010317</v>
      </c>
      <c r="G47" s="9">
        <v>55</v>
      </c>
      <c r="H47" s="9">
        <v>73</v>
      </c>
      <c r="I47" s="9">
        <f t="shared" si="1"/>
        <v>67.599999999999994</v>
      </c>
      <c r="J47" s="9"/>
      <c r="K47" s="3">
        <v>3</v>
      </c>
      <c r="L47" s="3">
        <v>17</v>
      </c>
    </row>
    <row r="48" spans="1:12" ht="18.75" customHeight="1">
      <c r="A48" s="3" t="str">
        <f>"10522018030110415182826"</f>
        <v>10522018030110415182826</v>
      </c>
      <c r="B48" s="8" t="s">
        <v>7</v>
      </c>
      <c r="C48" s="9" t="str">
        <f>"女"</f>
        <v>女</v>
      </c>
      <c r="D48" s="9" t="str">
        <f>"341223199407111120"</f>
        <v>341223199407111120</v>
      </c>
      <c r="E48" s="14" t="str">
        <f t="shared" si="2"/>
        <v>临床医学</v>
      </c>
      <c r="F48" s="9" t="str">
        <f>"2018013603"</f>
        <v>2018013603</v>
      </c>
      <c r="G48" s="9">
        <v>45</v>
      </c>
      <c r="H48" s="9">
        <v>77</v>
      </c>
      <c r="I48" s="9">
        <f t="shared" si="1"/>
        <v>67.400000000000006</v>
      </c>
      <c r="J48" s="9"/>
      <c r="K48" s="3">
        <v>36</v>
      </c>
      <c r="L48" s="3">
        <v>3</v>
      </c>
    </row>
    <row r="49" spans="1:12" ht="18.75" customHeight="1">
      <c r="A49" s="3" t="str">
        <f>"10522018022819523582720"</f>
        <v>10522018022819523582720</v>
      </c>
      <c r="B49" s="8" t="s">
        <v>7</v>
      </c>
      <c r="C49" s="9" t="str">
        <f>"男"</f>
        <v>男</v>
      </c>
      <c r="D49" s="9" t="str">
        <f>"341223199312092115"</f>
        <v>341223199312092115</v>
      </c>
      <c r="E49" s="14" t="str">
        <f t="shared" si="2"/>
        <v>临床医学</v>
      </c>
      <c r="F49" s="9" t="str">
        <f>"2018010212"</f>
        <v>2018010212</v>
      </c>
      <c r="G49" s="9">
        <v>49.5</v>
      </c>
      <c r="H49" s="9">
        <v>75</v>
      </c>
      <c r="I49" s="9">
        <f t="shared" si="1"/>
        <v>67.349999999999994</v>
      </c>
      <c r="J49" s="9"/>
      <c r="K49" s="3">
        <v>2</v>
      </c>
      <c r="L49" s="3">
        <v>12</v>
      </c>
    </row>
    <row r="50" spans="1:12" ht="18.75" customHeight="1">
      <c r="A50" s="3" t="str">
        <f>"10522018030111343082849"</f>
        <v>10522018030111343082849</v>
      </c>
      <c r="B50" s="8" t="s">
        <v>7</v>
      </c>
      <c r="C50" s="9" t="str">
        <f>"男"</f>
        <v>男</v>
      </c>
      <c r="D50" s="9" t="str">
        <f>"341223199312071154"</f>
        <v>341223199312071154</v>
      </c>
      <c r="E50" s="14" t="str">
        <f t="shared" si="2"/>
        <v>临床医学</v>
      </c>
      <c r="F50" s="9" t="str">
        <f>"2018010215"</f>
        <v>2018010215</v>
      </c>
      <c r="G50" s="9">
        <v>63.5</v>
      </c>
      <c r="H50" s="9">
        <v>68</v>
      </c>
      <c r="I50" s="9">
        <f t="shared" si="1"/>
        <v>66.649999999999991</v>
      </c>
      <c r="J50" s="9"/>
      <c r="K50" s="3">
        <v>2</v>
      </c>
      <c r="L50" s="3">
        <v>15</v>
      </c>
    </row>
    <row r="51" spans="1:12" ht="18.75" customHeight="1">
      <c r="A51" s="3" t="str">
        <f>"10522018030115232782929"</f>
        <v>10522018030115232782929</v>
      </c>
      <c r="B51" s="8" t="s">
        <v>7</v>
      </c>
      <c r="C51" s="9" t="str">
        <f>"女"</f>
        <v>女</v>
      </c>
      <c r="D51" s="9" t="str">
        <f>"341223199302164189"</f>
        <v>341223199302164189</v>
      </c>
      <c r="E51" s="14" t="str">
        <f t="shared" si="2"/>
        <v>临床医学</v>
      </c>
      <c r="F51" s="9" t="str">
        <f>"2018010208"</f>
        <v>2018010208</v>
      </c>
      <c r="G51" s="9">
        <v>58</v>
      </c>
      <c r="H51" s="9">
        <v>70</v>
      </c>
      <c r="I51" s="9">
        <f t="shared" si="1"/>
        <v>66.400000000000006</v>
      </c>
      <c r="J51" s="9"/>
      <c r="K51" s="3">
        <v>2</v>
      </c>
      <c r="L51" s="3">
        <v>8</v>
      </c>
    </row>
    <row r="52" spans="1:12" ht="18.75" customHeight="1">
      <c r="A52" s="3" t="str">
        <f>"10522018022708024482124"</f>
        <v>10522018022708024482124</v>
      </c>
      <c r="B52" s="8" t="s">
        <v>7</v>
      </c>
      <c r="C52" s="9" t="str">
        <f>"女"</f>
        <v>女</v>
      </c>
      <c r="D52" s="9" t="str">
        <f>"341621199305100227"</f>
        <v>341621199305100227</v>
      </c>
      <c r="E52" s="14" t="str">
        <f t="shared" si="2"/>
        <v>临床医学</v>
      </c>
      <c r="F52" s="9" t="str">
        <f>"2018010104"</f>
        <v>2018010104</v>
      </c>
      <c r="G52" s="9">
        <v>44</v>
      </c>
      <c r="H52" s="9">
        <v>75</v>
      </c>
      <c r="I52" s="9">
        <f t="shared" si="1"/>
        <v>65.7</v>
      </c>
      <c r="J52" s="9"/>
      <c r="K52" s="3">
        <v>1</v>
      </c>
      <c r="L52" s="3">
        <v>4</v>
      </c>
    </row>
    <row r="53" spans="1:12" ht="18.75" customHeight="1">
      <c r="A53" s="3" t="str">
        <f>"10522018022615480481929"</f>
        <v>10522018022615480481929</v>
      </c>
      <c r="B53" s="8" t="s">
        <v>7</v>
      </c>
      <c r="C53" s="9" t="str">
        <f>"男"</f>
        <v>男</v>
      </c>
      <c r="D53" s="9" t="str">
        <f>"341223199609060210"</f>
        <v>341223199609060210</v>
      </c>
      <c r="E53" s="14" t="str">
        <f t="shared" si="2"/>
        <v>临床医学</v>
      </c>
      <c r="F53" s="9" t="str">
        <f>"2018010117"</f>
        <v>2018010117</v>
      </c>
      <c r="G53" s="9">
        <v>53.5</v>
      </c>
      <c r="H53" s="9">
        <v>70</v>
      </c>
      <c r="I53" s="9">
        <f t="shared" si="1"/>
        <v>65.05</v>
      </c>
      <c r="J53" s="9"/>
      <c r="K53" s="3">
        <v>1</v>
      </c>
      <c r="L53" s="3">
        <v>17</v>
      </c>
    </row>
    <row r="54" spans="1:12" ht="18.75" customHeight="1">
      <c r="A54" s="3" t="str">
        <f>"10522018022818431482691"</f>
        <v>10522018022818431482691</v>
      </c>
      <c r="B54" s="8" t="s">
        <v>7</v>
      </c>
      <c r="C54" s="9" t="str">
        <f>"男"</f>
        <v>男</v>
      </c>
      <c r="D54" s="9" t="str">
        <f>"34162119890101331X"</f>
        <v>34162119890101331X</v>
      </c>
      <c r="E54" s="14" t="str">
        <f t="shared" si="2"/>
        <v>临床医学</v>
      </c>
      <c r="F54" s="9" t="str">
        <f>"2018010207"</f>
        <v>2018010207</v>
      </c>
      <c r="G54" s="9">
        <v>53</v>
      </c>
      <c r="H54" s="9">
        <v>70</v>
      </c>
      <c r="I54" s="9">
        <f t="shared" si="1"/>
        <v>64.900000000000006</v>
      </c>
      <c r="J54" s="9"/>
      <c r="K54" s="3">
        <v>2</v>
      </c>
      <c r="L54" s="3">
        <v>7</v>
      </c>
    </row>
    <row r="55" spans="1:12" ht="18.75" customHeight="1">
      <c r="A55" s="3" t="str">
        <f>"10522018022712591582226"</f>
        <v>10522018022712591582226</v>
      </c>
      <c r="B55" s="8" t="s">
        <v>7</v>
      </c>
      <c r="C55" s="9" t="str">
        <f>"男"</f>
        <v>男</v>
      </c>
      <c r="D55" s="9" t="str">
        <f>"341281199405039595"</f>
        <v>341281199405039595</v>
      </c>
      <c r="E55" s="14" t="str">
        <f t="shared" si="2"/>
        <v>临床医学</v>
      </c>
      <c r="F55" s="9" t="str">
        <f>"2018013602"</f>
        <v>2018013602</v>
      </c>
      <c r="G55" s="9">
        <v>52</v>
      </c>
      <c r="H55" s="9">
        <v>70</v>
      </c>
      <c r="I55" s="9">
        <f t="shared" si="1"/>
        <v>64.599999999999994</v>
      </c>
      <c r="J55" s="9"/>
      <c r="K55" s="3">
        <v>36</v>
      </c>
      <c r="L55" s="3">
        <v>2</v>
      </c>
    </row>
    <row r="56" spans="1:12" ht="18.75" customHeight="1">
      <c r="A56" s="3" t="str">
        <f>"10522018022610280081675"</f>
        <v>10522018022610280081675</v>
      </c>
      <c r="B56" s="8" t="s">
        <v>7</v>
      </c>
      <c r="C56" s="9" t="str">
        <f>"女"</f>
        <v>女</v>
      </c>
      <c r="D56" s="9" t="str">
        <f>"34162119940321296X"</f>
        <v>34162119940321296X</v>
      </c>
      <c r="E56" s="14" t="str">
        <f t="shared" si="2"/>
        <v>临床医学</v>
      </c>
      <c r="F56" s="9" t="str">
        <f>"2018010308"</f>
        <v>2018010308</v>
      </c>
      <c r="G56" s="9">
        <v>60</v>
      </c>
      <c r="H56" s="9">
        <v>66</v>
      </c>
      <c r="I56" s="9">
        <f t="shared" si="1"/>
        <v>64.199999999999989</v>
      </c>
      <c r="J56" s="9"/>
      <c r="K56" s="3">
        <v>3</v>
      </c>
      <c r="L56" s="3">
        <v>8</v>
      </c>
    </row>
    <row r="57" spans="1:12" ht="18.75" customHeight="1">
      <c r="A57" s="3" t="str">
        <f>"10522018030215314183186"</f>
        <v>10522018030215314183186</v>
      </c>
      <c r="B57" s="8" t="s">
        <v>7</v>
      </c>
      <c r="C57" s="9" t="str">
        <f>"女"</f>
        <v>女</v>
      </c>
      <c r="D57" s="9" t="str">
        <f>"34122119920308544X"</f>
        <v>34122119920308544X</v>
      </c>
      <c r="E57" s="14" t="str">
        <f t="shared" si="2"/>
        <v>临床医学</v>
      </c>
      <c r="F57" s="9" t="str">
        <f>"2018010129"</f>
        <v>2018010129</v>
      </c>
      <c r="G57" s="9">
        <v>44.5</v>
      </c>
      <c r="H57" s="9">
        <v>72</v>
      </c>
      <c r="I57" s="9">
        <f t="shared" si="1"/>
        <v>63.75</v>
      </c>
      <c r="J57" s="9"/>
      <c r="K57" s="3">
        <v>1</v>
      </c>
      <c r="L57" s="3">
        <v>29</v>
      </c>
    </row>
    <row r="58" spans="1:12" ht="18.75" customHeight="1">
      <c r="A58" s="3" t="str">
        <f>"10522018030214482583168"</f>
        <v>10522018030214482583168</v>
      </c>
      <c r="B58" s="8" t="s">
        <v>7</v>
      </c>
      <c r="C58" s="9" t="str">
        <f>"男"</f>
        <v>男</v>
      </c>
      <c r="D58" s="9" t="str">
        <f>"341621199610154133"</f>
        <v>341621199610154133</v>
      </c>
      <c r="E58" s="14" t="str">
        <f t="shared" si="2"/>
        <v>临床医学</v>
      </c>
      <c r="F58" s="9" t="str">
        <f>"2018010222"</f>
        <v>2018010222</v>
      </c>
      <c r="G58" s="9">
        <v>53</v>
      </c>
      <c r="H58" s="9">
        <v>67</v>
      </c>
      <c r="I58" s="9">
        <f t="shared" si="1"/>
        <v>62.8</v>
      </c>
      <c r="J58" s="9"/>
      <c r="K58" s="3">
        <v>2</v>
      </c>
      <c r="L58" s="3">
        <v>22</v>
      </c>
    </row>
    <row r="59" spans="1:12" ht="18.75" customHeight="1">
      <c r="A59" s="3" t="str">
        <f>"10522018022721385082428"</f>
        <v>10522018022721385082428</v>
      </c>
      <c r="B59" s="8" t="s">
        <v>7</v>
      </c>
      <c r="C59" s="9" t="str">
        <f>"女"</f>
        <v>女</v>
      </c>
      <c r="D59" s="9" t="str">
        <f>"341621199510270428"</f>
        <v>341621199510270428</v>
      </c>
      <c r="E59" s="14" t="str">
        <f t="shared" si="2"/>
        <v>临床医学</v>
      </c>
      <c r="F59" s="9" t="str">
        <f>"2018010315"</f>
        <v>2018010315</v>
      </c>
      <c r="G59" s="9">
        <v>60</v>
      </c>
      <c r="H59" s="9">
        <v>63</v>
      </c>
      <c r="I59" s="9">
        <f t="shared" si="1"/>
        <v>62.099999999999994</v>
      </c>
      <c r="J59" s="9"/>
      <c r="K59" s="3">
        <v>3</v>
      </c>
      <c r="L59" s="3">
        <v>15</v>
      </c>
    </row>
    <row r="60" spans="1:12" ht="18.75" customHeight="1">
      <c r="A60" s="3" t="str">
        <f>"10522018022815311382635"</f>
        <v>10522018022815311382635</v>
      </c>
      <c r="B60" s="8" t="s">
        <v>7</v>
      </c>
      <c r="C60" s="9" t="str">
        <f>"女"</f>
        <v>女</v>
      </c>
      <c r="D60" s="9" t="str">
        <f>"341621199208252923"</f>
        <v>341621199208252923</v>
      </c>
      <c r="E60" s="14" t="str">
        <f t="shared" si="2"/>
        <v>临床医学</v>
      </c>
      <c r="F60" s="9" t="str">
        <f>"2018010323"</f>
        <v>2018010323</v>
      </c>
      <c r="G60" s="9">
        <v>47.5</v>
      </c>
      <c r="H60" s="9">
        <v>68</v>
      </c>
      <c r="I60" s="9">
        <f t="shared" si="1"/>
        <v>61.849999999999994</v>
      </c>
      <c r="J60" s="9"/>
      <c r="K60" s="3">
        <v>3</v>
      </c>
      <c r="L60" s="3">
        <v>23</v>
      </c>
    </row>
    <row r="61" spans="1:12" ht="18.75" customHeight="1">
      <c r="A61" s="3" t="str">
        <f>"10522018030115021582924"</f>
        <v>10522018030115021582924</v>
      </c>
      <c r="B61" s="8" t="s">
        <v>7</v>
      </c>
      <c r="C61" s="9" t="str">
        <f>"女"</f>
        <v>女</v>
      </c>
      <c r="D61" s="9" t="str">
        <f>"34128119940524082X"</f>
        <v>34128119940524082X</v>
      </c>
      <c r="E61" s="14" t="str">
        <f t="shared" si="2"/>
        <v>临床医学</v>
      </c>
      <c r="F61" s="9" t="str">
        <f>"2018010223"</f>
        <v>2018010223</v>
      </c>
      <c r="G61" s="9">
        <v>42.5</v>
      </c>
      <c r="H61" s="9">
        <v>70</v>
      </c>
      <c r="I61" s="9">
        <f t="shared" si="1"/>
        <v>61.75</v>
      </c>
      <c r="J61" s="9"/>
      <c r="K61" s="3">
        <v>2</v>
      </c>
      <c r="L61" s="3">
        <v>23</v>
      </c>
    </row>
    <row r="62" spans="1:12" ht="18.75" customHeight="1">
      <c r="A62" s="3" t="str">
        <f>"10522018022821321182750"</f>
        <v>10522018022821321182750</v>
      </c>
      <c r="B62" s="8" t="s">
        <v>7</v>
      </c>
      <c r="C62" s="9" t="str">
        <f>"女"</f>
        <v>女</v>
      </c>
      <c r="D62" s="9" t="str">
        <f>"34162319941015676X"</f>
        <v>34162319941015676X</v>
      </c>
      <c r="E62" s="14" t="str">
        <f t="shared" si="2"/>
        <v>临床医学</v>
      </c>
      <c r="F62" s="9" t="str">
        <f>"2018010221"</f>
        <v>2018010221</v>
      </c>
      <c r="G62" s="9">
        <v>36.5</v>
      </c>
      <c r="H62" s="9">
        <v>72</v>
      </c>
      <c r="I62" s="9">
        <f t="shared" si="1"/>
        <v>61.349999999999994</v>
      </c>
      <c r="J62" s="9"/>
      <c r="K62" s="3">
        <v>2</v>
      </c>
      <c r="L62" s="3">
        <v>21</v>
      </c>
    </row>
    <row r="63" spans="1:12" ht="18.75" customHeight="1">
      <c r="A63" s="3" t="str">
        <f>"10522018022821593782756"</f>
        <v>10522018022821593782756</v>
      </c>
      <c r="B63" s="8" t="s">
        <v>7</v>
      </c>
      <c r="C63" s="9" t="str">
        <f>"女"</f>
        <v>女</v>
      </c>
      <c r="D63" s="9" t="str">
        <f>"341281199506103322"</f>
        <v>341281199506103322</v>
      </c>
      <c r="E63" s="14" t="str">
        <f t="shared" si="2"/>
        <v>临床医学</v>
      </c>
      <c r="F63" s="9" t="str">
        <f>"2018010125"</f>
        <v>2018010125</v>
      </c>
      <c r="G63" s="9">
        <v>47.5</v>
      </c>
      <c r="H63" s="9">
        <v>67</v>
      </c>
      <c r="I63" s="9">
        <f t="shared" si="1"/>
        <v>61.15</v>
      </c>
      <c r="J63" s="9"/>
      <c r="K63" s="3">
        <v>1</v>
      </c>
      <c r="L63" s="3">
        <v>25</v>
      </c>
    </row>
    <row r="64" spans="1:12" ht="18.75" customHeight="1">
      <c r="A64" s="3" t="str">
        <f>"10522018022714253582262"</f>
        <v>10522018022714253582262</v>
      </c>
      <c r="B64" s="8" t="s">
        <v>7</v>
      </c>
      <c r="C64" s="9" t="str">
        <f>"男"</f>
        <v>男</v>
      </c>
      <c r="D64" s="9" t="str">
        <f>"341223199502034135"</f>
        <v>341223199502034135</v>
      </c>
      <c r="E64" s="14" t="str">
        <f t="shared" si="2"/>
        <v>临床医学</v>
      </c>
      <c r="F64" s="9" t="str">
        <f>"2018010126"</f>
        <v>2018010126</v>
      </c>
      <c r="G64" s="9">
        <v>45.5</v>
      </c>
      <c r="H64" s="9">
        <v>67</v>
      </c>
      <c r="I64" s="9">
        <f t="shared" si="1"/>
        <v>60.55</v>
      </c>
      <c r="J64" s="9"/>
      <c r="K64" s="3">
        <v>1</v>
      </c>
      <c r="L64" s="3">
        <v>26</v>
      </c>
    </row>
    <row r="65" spans="1:12" ht="18.75" customHeight="1">
      <c r="A65" s="3" t="str">
        <f>"10522018030117481682976"</f>
        <v>10522018030117481682976</v>
      </c>
      <c r="B65" s="8" t="s">
        <v>7</v>
      </c>
      <c r="C65" s="9" t="str">
        <f>"男"</f>
        <v>男</v>
      </c>
      <c r="D65" s="9" t="str">
        <f>"341621199205085138"</f>
        <v>341621199205085138</v>
      </c>
      <c r="E65" s="14" t="str">
        <f t="shared" si="2"/>
        <v>临床医学</v>
      </c>
      <c r="F65" s="9" t="str">
        <f>"2018010330"</f>
        <v>2018010330</v>
      </c>
      <c r="G65" s="9">
        <v>47</v>
      </c>
      <c r="H65" s="9">
        <v>65</v>
      </c>
      <c r="I65" s="9">
        <f t="shared" si="1"/>
        <v>59.6</v>
      </c>
      <c r="J65" s="9"/>
      <c r="K65" s="3">
        <v>3</v>
      </c>
      <c r="L65" s="3">
        <v>30</v>
      </c>
    </row>
    <row r="66" spans="1:12" ht="18.75" customHeight="1">
      <c r="A66" s="3" t="str">
        <f>"10522018022609103981583"</f>
        <v>10522018022609103981583</v>
      </c>
      <c r="B66" s="8" t="s">
        <v>7</v>
      </c>
      <c r="C66" s="9" t="str">
        <f>"男"</f>
        <v>男</v>
      </c>
      <c r="D66" s="9" t="str">
        <f>"341621199410121118"</f>
        <v>341621199410121118</v>
      </c>
      <c r="E66" s="14" t="str">
        <f t="shared" si="2"/>
        <v>临床医学</v>
      </c>
      <c r="F66" s="9" t="str">
        <f>"2018010302"</f>
        <v>2018010302</v>
      </c>
      <c r="G66" s="9">
        <v>43.5</v>
      </c>
      <c r="H66" s="9">
        <v>66</v>
      </c>
      <c r="I66" s="9">
        <f t="shared" si="1"/>
        <v>59.249999999999993</v>
      </c>
      <c r="J66" s="9"/>
      <c r="K66" s="3">
        <v>3</v>
      </c>
      <c r="L66" s="3">
        <v>2</v>
      </c>
    </row>
    <row r="67" spans="1:12" ht="18.75" customHeight="1">
      <c r="A67" s="3" t="str">
        <f>"10522018022622201882107"</f>
        <v>10522018022622201882107</v>
      </c>
      <c r="B67" s="8" t="s">
        <v>7</v>
      </c>
      <c r="C67" s="9" t="str">
        <f>"男"</f>
        <v>男</v>
      </c>
      <c r="D67" s="9" t="str">
        <f>"34162119910706515X"</f>
        <v>34162119910706515X</v>
      </c>
      <c r="E67" s="14" t="str">
        <f t="shared" ref="E67:E95" si="3">"临床医学"</f>
        <v>临床医学</v>
      </c>
      <c r="F67" s="9" t="str">
        <f>"2018010306"</f>
        <v>2018010306</v>
      </c>
      <c r="G67" s="9">
        <v>42</v>
      </c>
      <c r="H67" s="9">
        <v>65</v>
      </c>
      <c r="I67" s="9">
        <f t="shared" ref="I67:I130" si="4">G67*0.3+H67*0.7</f>
        <v>58.1</v>
      </c>
      <c r="J67" s="9"/>
      <c r="K67" s="3">
        <v>3</v>
      </c>
      <c r="L67" s="3">
        <v>6</v>
      </c>
    </row>
    <row r="68" spans="1:12" ht="18.75" customHeight="1">
      <c r="A68" s="3" t="str">
        <f>"10522018022714411482266"</f>
        <v>10522018022714411482266</v>
      </c>
      <c r="B68" s="8" t="s">
        <v>7</v>
      </c>
      <c r="C68" s="9" t="str">
        <f>"男"</f>
        <v>男</v>
      </c>
      <c r="D68" s="9" t="str">
        <f>"341622199604280017"</f>
        <v>341622199604280017</v>
      </c>
      <c r="E68" s="14" t="str">
        <f t="shared" si="3"/>
        <v>临床医学</v>
      </c>
      <c r="F68" s="9" t="str">
        <f>"2018013601"</f>
        <v>2018013601</v>
      </c>
      <c r="G68" s="9">
        <v>47.5</v>
      </c>
      <c r="H68" s="9">
        <v>60</v>
      </c>
      <c r="I68" s="9">
        <f t="shared" si="4"/>
        <v>56.25</v>
      </c>
      <c r="J68" s="9"/>
      <c r="K68" s="3">
        <v>36</v>
      </c>
      <c r="L68" s="3">
        <v>1</v>
      </c>
    </row>
    <row r="69" spans="1:12" ht="18.75" customHeight="1">
      <c r="A69" s="3" t="str">
        <f>"10522018030209390283091"</f>
        <v>10522018030209390283091</v>
      </c>
      <c r="B69" s="8" t="s">
        <v>7</v>
      </c>
      <c r="C69" s="9" t="str">
        <f>"女"</f>
        <v>女</v>
      </c>
      <c r="D69" s="9" t="str">
        <f>"341223199406060982"</f>
        <v>341223199406060982</v>
      </c>
      <c r="E69" s="14" t="str">
        <f t="shared" si="3"/>
        <v>临床医学</v>
      </c>
      <c r="F69" s="9" t="str">
        <f>"2018013605"</f>
        <v>2018013605</v>
      </c>
      <c r="G69" s="9">
        <v>48</v>
      </c>
      <c r="H69" s="9">
        <v>59</v>
      </c>
      <c r="I69" s="9">
        <f t="shared" si="4"/>
        <v>55.699999999999996</v>
      </c>
      <c r="J69" s="9"/>
      <c r="K69" s="3">
        <v>36</v>
      </c>
      <c r="L69" s="3">
        <v>5</v>
      </c>
    </row>
    <row r="70" spans="1:12" ht="18.75" customHeight="1">
      <c r="A70" s="3" t="str">
        <f>"10522018022617262381982"</f>
        <v>10522018022617262381982</v>
      </c>
      <c r="B70" s="8" t="s">
        <v>7</v>
      </c>
      <c r="C70" s="9" t="str">
        <f>"女"</f>
        <v>女</v>
      </c>
      <c r="D70" s="9" t="str">
        <f>"411481199405086622"</f>
        <v>411481199405086622</v>
      </c>
      <c r="E70" s="14" t="str">
        <f t="shared" si="3"/>
        <v>临床医学</v>
      </c>
      <c r="F70" s="9" t="str">
        <f>"2018010111"</f>
        <v>2018010111</v>
      </c>
      <c r="G70" s="9">
        <v>54.5</v>
      </c>
      <c r="H70" s="9">
        <v>56</v>
      </c>
      <c r="I70" s="9">
        <f t="shared" si="4"/>
        <v>55.55</v>
      </c>
      <c r="J70" s="9"/>
      <c r="K70" s="3">
        <v>1</v>
      </c>
      <c r="L70" s="3">
        <v>11</v>
      </c>
    </row>
    <row r="71" spans="1:12" ht="18.75" customHeight="1">
      <c r="A71" s="3" t="str">
        <f>"10522018022811340082543"</f>
        <v>10522018022811340082543</v>
      </c>
      <c r="B71" s="8" t="s">
        <v>7</v>
      </c>
      <c r="C71" s="9" t="str">
        <f>"男"</f>
        <v>男</v>
      </c>
      <c r="D71" s="9" t="str">
        <f>"341223199504284517"</f>
        <v>341223199504284517</v>
      </c>
      <c r="E71" s="14" t="str">
        <f t="shared" si="3"/>
        <v>临床医学</v>
      </c>
      <c r="F71" s="9" t="str">
        <f>"2018010218"</f>
        <v>2018010218</v>
      </c>
      <c r="G71" s="9">
        <v>57</v>
      </c>
      <c r="H71" s="9">
        <v>51</v>
      </c>
      <c r="I71" s="9">
        <f t="shared" si="4"/>
        <v>52.8</v>
      </c>
      <c r="J71" s="9"/>
      <c r="K71" s="3">
        <v>2</v>
      </c>
      <c r="L71" s="3">
        <v>18</v>
      </c>
    </row>
    <row r="72" spans="1:12" ht="18.75" customHeight="1">
      <c r="A72" s="3" t="str">
        <f>"10522018022615015681902"</f>
        <v>10522018022615015681902</v>
      </c>
      <c r="B72" s="8" t="s">
        <v>7</v>
      </c>
      <c r="C72" s="9" t="str">
        <f>"男"</f>
        <v>男</v>
      </c>
      <c r="D72" s="9" t="str">
        <f>"341223199503244118"</f>
        <v>341223199503244118</v>
      </c>
      <c r="E72" s="14" t="str">
        <f t="shared" si="3"/>
        <v>临床医学</v>
      </c>
      <c r="F72" s="9" t="str">
        <f>"2018010124"</f>
        <v>2018010124</v>
      </c>
      <c r="G72" s="9">
        <v>40.5</v>
      </c>
      <c r="H72" s="9">
        <v>51</v>
      </c>
      <c r="I72" s="9">
        <f t="shared" si="4"/>
        <v>47.849999999999994</v>
      </c>
      <c r="J72" s="9"/>
      <c r="K72" s="3">
        <v>1</v>
      </c>
      <c r="L72" s="3">
        <v>24</v>
      </c>
    </row>
    <row r="73" spans="1:12" ht="18.75" customHeight="1">
      <c r="A73" s="3" t="str">
        <f>"10522018022718011782322"</f>
        <v>10522018022718011782322</v>
      </c>
      <c r="B73" s="8" t="s">
        <v>7</v>
      </c>
      <c r="C73" s="9" t="str">
        <f>"男"</f>
        <v>男</v>
      </c>
      <c r="D73" s="9" t="str">
        <f>"341621199007244716"</f>
        <v>341621199007244716</v>
      </c>
      <c r="E73" s="14" t="str">
        <f t="shared" si="3"/>
        <v>临床医学</v>
      </c>
      <c r="F73" s="9" t="str">
        <f>"2018010103"</f>
        <v>2018010103</v>
      </c>
      <c r="G73" s="9">
        <v>0</v>
      </c>
      <c r="H73" s="9">
        <v>0</v>
      </c>
      <c r="I73" s="9">
        <f t="shared" si="4"/>
        <v>0</v>
      </c>
      <c r="J73" s="10" t="s">
        <v>4</v>
      </c>
      <c r="K73" s="3">
        <v>1</v>
      </c>
      <c r="L73" s="3">
        <v>3</v>
      </c>
    </row>
    <row r="74" spans="1:12" ht="18.75" customHeight="1">
      <c r="A74" s="3" t="str">
        <f>"10522018022711205682195"</f>
        <v>10522018022711205682195</v>
      </c>
      <c r="B74" s="8" t="s">
        <v>7</v>
      </c>
      <c r="C74" s="9" t="str">
        <f>"男"</f>
        <v>男</v>
      </c>
      <c r="D74" s="9" t="str">
        <f>"341225199305019211"</f>
        <v>341225199305019211</v>
      </c>
      <c r="E74" s="14" t="str">
        <f t="shared" si="3"/>
        <v>临床医学</v>
      </c>
      <c r="F74" s="9" t="str">
        <f>"2018010106"</f>
        <v>2018010106</v>
      </c>
      <c r="G74" s="9">
        <v>0</v>
      </c>
      <c r="H74" s="9">
        <v>0</v>
      </c>
      <c r="I74" s="9">
        <f t="shared" si="4"/>
        <v>0</v>
      </c>
      <c r="J74" s="10" t="s">
        <v>4</v>
      </c>
      <c r="K74" s="3">
        <v>1</v>
      </c>
      <c r="L74" s="3">
        <v>6</v>
      </c>
    </row>
    <row r="75" spans="1:12" ht="18.75" customHeight="1">
      <c r="A75" s="3" t="str">
        <f>"10522018030121363183031"</f>
        <v>10522018030121363183031</v>
      </c>
      <c r="B75" s="8" t="s">
        <v>7</v>
      </c>
      <c r="C75" s="9" t="str">
        <f>"女"</f>
        <v>女</v>
      </c>
      <c r="D75" s="9" t="str">
        <f>"341224199506187426"</f>
        <v>341224199506187426</v>
      </c>
      <c r="E75" s="14" t="str">
        <f t="shared" si="3"/>
        <v>临床医学</v>
      </c>
      <c r="F75" s="9" t="str">
        <f>"2018010108"</f>
        <v>2018010108</v>
      </c>
      <c r="G75" s="9">
        <v>0</v>
      </c>
      <c r="H75" s="9">
        <v>0</v>
      </c>
      <c r="I75" s="9">
        <f t="shared" si="4"/>
        <v>0</v>
      </c>
      <c r="J75" s="10" t="s">
        <v>4</v>
      </c>
      <c r="K75" s="3">
        <v>1</v>
      </c>
      <c r="L75" s="3">
        <v>8</v>
      </c>
    </row>
    <row r="76" spans="1:12" ht="18.75" customHeight="1">
      <c r="A76" s="3" t="str">
        <f>"10522018022610495881713"</f>
        <v>10522018022610495881713</v>
      </c>
      <c r="B76" s="8" t="s">
        <v>7</v>
      </c>
      <c r="C76" s="9" t="str">
        <f>"男"</f>
        <v>男</v>
      </c>
      <c r="D76" s="9" t="str">
        <f>"341621199212213951"</f>
        <v>341621199212213951</v>
      </c>
      <c r="E76" s="14" t="str">
        <f t="shared" si="3"/>
        <v>临床医学</v>
      </c>
      <c r="F76" s="9" t="str">
        <f>"2018010109"</f>
        <v>2018010109</v>
      </c>
      <c r="G76" s="9">
        <v>0</v>
      </c>
      <c r="H76" s="9">
        <v>0</v>
      </c>
      <c r="I76" s="9">
        <f t="shared" si="4"/>
        <v>0</v>
      </c>
      <c r="J76" s="10" t="s">
        <v>4</v>
      </c>
      <c r="K76" s="3">
        <v>1</v>
      </c>
      <c r="L76" s="3">
        <v>9</v>
      </c>
    </row>
    <row r="77" spans="1:12" ht="18.75" customHeight="1">
      <c r="A77" s="3" t="str">
        <f>"10522018022620253282056"</f>
        <v>10522018022620253282056</v>
      </c>
      <c r="B77" s="8" t="s">
        <v>7</v>
      </c>
      <c r="C77" s="9" t="str">
        <f>"男"</f>
        <v>男</v>
      </c>
      <c r="D77" s="9" t="str">
        <f>"341281199308180079"</f>
        <v>341281199308180079</v>
      </c>
      <c r="E77" s="14" t="str">
        <f t="shared" si="3"/>
        <v>临床医学</v>
      </c>
      <c r="F77" s="9" t="str">
        <f>"2018010112"</f>
        <v>2018010112</v>
      </c>
      <c r="G77" s="9">
        <v>0</v>
      </c>
      <c r="H77" s="9">
        <v>0</v>
      </c>
      <c r="I77" s="9">
        <f t="shared" si="4"/>
        <v>0</v>
      </c>
      <c r="J77" s="10" t="s">
        <v>4</v>
      </c>
      <c r="K77" s="3">
        <v>1</v>
      </c>
      <c r="L77" s="3">
        <v>12</v>
      </c>
    </row>
    <row r="78" spans="1:12" ht="18.75" customHeight="1">
      <c r="A78" s="3" t="str">
        <f>"10522018022613183681834"</f>
        <v>10522018022613183681834</v>
      </c>
      <c r="B78" s="8" t="s">
        <v>7</v>
      </c>
      <c r="C78" s="9" t="str">
        <f>"男"</f>
        <v>男</v>
      </c>
      <c r="D78" s="9" t="str">
        <f>"341227199311291038"</f>
        <v>341227199311291038</v>
      </c>
      <c r="E78" s="14" t="str">
        <f t="shared" si="3"/>
        <v>临床医学</v>
      </c>
      <c r="F78" s="9" t="str">
        <f>"2018010115"</f>
        <v>2018010115</v>
      </c>
      <c r="G78" s="9">
        <v>0</v>
      </c>
      <c r="H78" s="9">
        <v>0</v>
      </c>
      <c r="I78" s="9">
        <f t="shared" si="4"/>
        <v>0</v>
      </c>
      <c r="J78" s="10" t="s">
        <v>4</v>
      </c>
      <c r="K78" s="3">
        <v>1</v>
      </c>
      <c r="L78" s="3">
        <v>15</v>
      </c>
    </row>
    <row r="79" spans="1:12" ht="18.75" customHeight="1">
      <c r="A79" s="3" t="str">
        <f>"10522018022712142282213"</f>
        <v>10522018022712142282213</v>
      </c>
      <c r="B79" s="8" t="s">
        <v>7</v>
      </c>
      <c r="C79" s="9" t="str">
        <f>"女"</f>
        <v>女</v>
      </c>
      <c r="D79" s="9" t="str">
        <f>"341621199305030521"</f>
        <v>341621199305030521</v>
      </c>
      <c r="E79" s="14" t="str">
        <f t="shared" si="3"/>
        <v>临床医学</v>
      </c>
      <c r="F79" s="9" t="str">
        <f>"2018010116"</f>
        <v>2018010116</v>
      </c>
      <c r="G79" s="9">
        <v>0</v>
      </c>
      <c r="H79" s="9">
        <v>0</v>
      </c>
      <c r="I79" s="9">
        <f t="shared" si="4"/>
        <v>0</v>
      </c>
      <c r="J79" s="10" t="s">
        <v>4</v>
      </c>
      <c r="K79" s="3">
        <v>1</v>
      </c>
      <c r="L79" s="3">
        <v>16</v>
      </c>
    </row>
    <row r="80" spans="1:12" ht="18.75" customHeight="1">
      <c r="A80" s="3" t="str">
        <f>"10522018022617051281974"</f>
        <v>10522018022617051281974</v>
      </c>
      <c r="B80" s="8" t="s">
        <v>7</v>
      </c>
      <c r="C80" s="9" t="str">
        <f>"女"</f>
        <v>女</v>
      </c>
      <c r="D80" s="9" t="str">
        <f>"341223199505022121"</f>
        <v>341223199505022121</v>
      </c>
      <c r="E80" s="14" t="str">
        <f t="shared" si="3"/>
        <v>临床医学</v>
      </c>
      <c r="F80" s="9" t="str">
        <f>"2018010120"</f>
        <v>2018010120</v>
      </c>
      <c r="G80" s="9">
        <v>0</v>
      </c>
      <c r="H80" s="9">
        <v>0</v>
      </c>
      <c r="I80" s="9">
        <f t="shared" si="4"/>
        <v>0</v>
      </c>
      <c r="J80" s="10" t="s">
        <v>4</v>
      </c>
      <c r="K80" s="3">
        <v>1</v>
      </c>
      <c r="L80" s="3">
        <v>20</v>
      </c>
    </row>
    <row r="81" spans="1:12" ht="18.75" customHeight="1">
      <c r="A81" s="3" t="str">
        <f>"10522018022621372182090"</f>
        <v>10522018022621372182090</v>
      </c>
      <c r="B81" s="8" t="s">
        <v>7</v>
      </c>
      <c r="C81" s="9" t="str">
        <f>"女"</f>
        <v>女</v>
      </c>
      <c r="D81" s="9" t="str">
        <f>"341621199412163928"</f>
        <v>341621199412163928</v>
      </c>
      <c r="E81" s="14" t="str">
        <f t="shared" si="3"/>
        <v>临床医学</v>
      </c>
      <c r="F81" s="9" t="str">
        <f>"2018010122"</f>
        <v>2018010122</v>
      </c>
      <c r="G81" s="9">
        <v>0</v>
      </c>
      <c r="H81" s="9">
        <v>0</v>
      </c>
      <c r="I81" s="9">
        <f t="shared" si="4"/>
        <v>0</v>
      </c>
      <c r="J81" s="10" t="s">
        <v>4</v>
      </c>
      <c r="K81" s="3">
        <v>1</v>
      </c>
      <c r="L81" s="3">
        <v>22</v>
      </c>
    </row>
    <row r="82" spans="1:12" ht="18.75" customHeight="1">
      <c r="A82" s="3" t="str">
        <f>"10522018022816445882652"</f>
        <v>10522018022816445882652</v>
      </c>
      <c r="B82" s="8" t="s">
        <v>7</v>
      </c>
      <c r="C82" s="9" t="str">
        <f>"女"</f>
        <v>女</v>
      </c>
      <c r="D82" s="9" t="str">
        <f>"341621199503280089"</f>
        <v>341621199503280089</v>
      </c>
      <c r="E82" s="14" t="str">
        <f t="shared" si="3"/>
        <v>临床医学</v>
      </c>
      <c r="F82" s="9" t="str">
        <f>"2018010128"</f>
        <v>2018010128</v>
      </c>
      <c r="G82" s="9">
        <v>0</v>
      </c>
      <c r="H82" s="9">
        <v>0</v>
      </c>
      <c r="I82" s="9">
        <f t="shared" si="4"/>
        <v>0</v>
      </c>
      <c r="J82" s="10" t="s">
        <v>4</v>
      </c>
      <c r="K82" s="3">
        <v>1</v>
      </c>
      <c r="L82" s="3">
        <v>28</v>
      </c>
    </row>
    <row r="83" spans="1:12" ht="18.75" customHeight="1">
      <c r="A83" s="3" t="str">
        <f>"10522018030118021682981"</f>
        <v>10522018030118021682981</v>
      </c>
      <c r="B83" s="8" t="s">
        <v>7</v>
      </c>
      <c r="C83" s="9" t="str">
        <f>"男"</f>
        <v>男</v>
      </c>
      <c r="D83" s="9" t="str">
        <f>"340621199307083650"</f>
        <v>340621199307083650</v>
      </c>
      <c r="E83" s="14" t="str">
        <f t="shared" si="3"/>
        <v>临床医学</v>
      </c>
      <c r="F83" s="9" t="str">
        <f>"2018010202"</f>
        <v>2018010202</v>
      </c>
      <c r="G83" s="9">
        <v>0</v>
      </c>
      <c r="H83" s="9">
        <v>0</v>
      </c>
      <c r="I83" s="9">
        <f t="shared" si="4"/>
        <v>0</v>
      </c>
      <c r="J83" s="10" t="s">
        <v>4</v>
      </c>
      <c r="K83" s="3">
        <v>2</v>
      </c>
      <c r="L83" s="3">
        <v>2</v>
      </c>
    </row>
    <row r="84" spans="1:12" ht="18.75" customHeight="1">
      <c r="A84" s="3" t="str">
        <f>"10522018030211312783118"</f>
        <v>10522018030211312783118</v>
      </c>
      <c r="B84" s="8" t="s">
        <v>7</v>
      </c>
      <c r="C84" s="9" t="str">
        <f>"女"</f>
        <v>女</v>
      </c>
      <c r="D84" s="9" t="str">
        <f>"341227199203251549"</f>
        <v>341227199203251549</v>
      </c>
      <c r="E84" s="14" t="str">
        <f t="shared" si="3"/>
        <v>临床医学</v>
      </c>
      <c r="F84" s="9" t="str">
        <f>"2018010203"</f>
        <v>2018010203</v>
      </c>
      <c r="G84" s="9">
        <v>0</v>
      </c>
      <c r="H84" s="9">
        <v>0</v>
      </c>
      <c r="I84" s="9">
        <f t="shared" si="4"/>
        <v>0</v>
      </c>
      <c r="J84" s="10" t="s">
        <v>4</v>
      </c>
      <c r="K84" s="3">
        <v>2</v>
      </c>
      <c r="L84" s="3">
        <v>3</v>
      </c>
    </row>
    <row r="85" spans="1:12" ht="18.75" customHeight="1">
      <c r="A85" s="3" t="str">
        <f>"10522018022609092881582"</f>
        <v>10522018022609092881582</v>
      </c>
      <c r="B85" s="8" t="s">
        <v>7</v>
      </c>
      <c r="C85" s="9" t="str">
        <f>"女"</f>
        <v>女</v>
      </c>
      <c r="D85" s="9" t="str">
        <f>"341204199310101402"</f>
        <v>341204199310101402</v>
      </c>
      <c r="E85" s="14" t="str">
        <f t="shared" si="3"/>
        <v>临床医学</v>
      </c>
      <c r="F85" s="9" t="str">
        <f>"2018010204"</f>
        <v>2018010204</v>
      </c>
      <c r="G85" s="9">
        <v>0</v>
      </c>
      <c r="H85" s="9">
        <v>0</v>
      </c>
      <c r="I85" s="9">
        <f t="shared" si="4"/>
        <v>0</v>
      </c>
      <c r="J85" s="10" t="s">
        <v>4</v>
      </c>
      <c r="K85" s="3">
        <v>2</v>
      </c>
      <c r="L85" s="3">
        <v>4</v>
      </c>
    </row>
    <row r="86" spans="1:12" ht="18.75" customHeight="1">
      <c r="A86" s="3" t="str">
        <f>"10522018022710065982162"</f>
        <v>10522018022710065982162</v>
      </c>
      <c r="B86" s="8" t="s">
        <v>7</v>
      </c>
      <c r="C86" s="9" t="str">
        <f>"男"</f>
        <v>男</v>
      </c>
      <c r="D86" s="9" t="str">
        <f>"341227198904154050"</f>
        <v>341227198904154050</v>
      </c>
      <c r="E86" s="14" t="str">
        <f t="shared" si="3"/>
        <v>临床医学</v>
      </c>
      <c r="F86" s="9" t="str">
        <f>"2018010205"</f>
        <v>2018010205</v>
      </c>
      <c r="G86" s="9">
        <v>0</v>
      </c>
      <c r="H86" s="9">
        <v>0</v>
      </c>
      <c r="I86" s="9">
        <f t="shared" si="4"/>
        <v>0</v>
      </c>
      <c r="J86" s="10" t="s">
        <v>4</v>
      </c>
      <c r="K86" s="3">
        <v>2</v>
      </c>
      <c r="L86" s="3">
        <v>5</v>
      </c>
    </row>
    <row r="87" spans="1:12" ht="18.75" customHeight="1">
      <c r="A87" s="3" t="str">
        <f>"10522018030118054482982"</f>
        <v>10522018030118054482982</v>
      </c>
      <c r="B87" s="8" t="s">
        <v>7</v>
      </c>
      <c r="C87" s="9" t="str">
        <f>"男"</f>
        <v>男</v>
      </c>
      <c r="D87" s="9" t="str">
        <f>"341224198907141512"</f>
        <v>341224198907141512</v>
      </c>
      <c r="E87" s="14" t="str">
        <f t="shared" si="3"/>
        <v>临床医学</v>
      </c>
      <c r="F87" s="9" t="str">
        <f>"2018010209"</f>
        <v>2018010209</v>
      </c>
      <c r="G87" s="9">
        <v>0</v>
      </c>
      <c r="H87" s="9">
        <v>0</v>
      </c>
      <c r="I87" s="9">
        <f t="shared" si="4"/>
        <v>0</v>
      </c>
      <c r="J87" s="10" t="s">
        <v>4</v>
      </c>
      <c r="K87" s="3">
        <v>2</v>
      </c>
      <c r="L87" s="3">
        <v>9</v>
      </c>
    </row>
    <row r="88" spans="1:12" ht="18.75" customHeight="1">
      <c r="A88" s="3" t="str">
        <f>"10522018022616323481957"</f>
        <v>10522018022616323481957</v>
      </c>
      <c r="B88" s="8" t="s">
        <v>7</v>
      </c>
      <c r="C88" s="9" t="str">
        <f>"女"</f>
        <v>女</v>
      </c>
      <c r="D88" s="9" t="str">
        <f>"341223199401264142"</f>
        <v>341223199401264142</v>
      </c>
      <c r="E88" s="14" t="str">
        <f t="shared" si="3"/>
        <v>临床医学</v>
      </c>
      <c r="F88" s="9" t="str">
        <f>"2018010211"</f>
        <v>2018010211</v>
      </c>
      <c r="G88" s="9">
        <v>0</v>
      </c>
      <c r="H88" s="9">
        <v>0</v>
      </c>
      <c r="I88" s="9">
        <f t="shared" si="4"/>
        <v>0</v>
      </c>
      <c r="J88" s="10" t="s">
        <v>4</v>
      </c>
      <c r="K88" s="3">
        <v>2</v>
      </c>
      <c r="L88" s="3">
        <v>11</v>
      </c>
    </row>
    <row r="89" spans="1:12" ht="18.75" customHeight="1">
      <c r="A89" s="3" t="str">
        <f>"10522018030214024883150"</f>
        <v>10522018030214024883150</v>
      </c>
      <c r="B89" s="8" t="s">
        <v>7</v>
      </c>
      <c r="C89" s="9" t="str">
        <f>"男"</f>
        <v>男</v>
      </c>
      <c r="D89" s="9" t="str">
        <f>"341225198911172713"</f>
        <v>341225198911172713</v>
      </c>
      <c r="E89" s="14" t="str">
        <f t="shared" si="3"/>
        <v>临床医学</v>
      </c>
      <c r="F89" s="9" t="str">
        <f>"2018010219"</f>
        <v>2018010219</v>
      </c>
      <c r="G89" s="9">
        <v>0</v>
      </c>
      <c r="H89" s="9">
        <v>0</v>
      </c>
      <c r="I89" s="9">
        <f t="shared" si="4"/>
        <v>0</v>
      </c>
      <c r="J89" s="10" t="s">
        <v>4</v>
      </c>
      <c r="K89" s="3">
        <v>2</v>
      </c>
      <c r="L89" s="3">
        <v>19</v>
      </c>
    </row>
    <row r="90" spans="1:12" ht="18.75" customHeight="1">
      <c r="A90" s="3" t="str">
        <f>"10522018030212232283126"</f>
        <v>10522018030212232283126</v>
      </c>
      <c r="B90" s="8" t="s">
        <v>7</v>
      </c>
      <c r="C90" s="9" t="str">
        <f>"男"</f>
        <v>男</v>
      </c>
      <c r="D90" s="9" t="str">
        <f>"341226199010031535"</f>
        <v>341226199010031535</v>
      </c>
      <c r="E90" s="14" t="str">
        <f t="shared" si="3"/>
        <v>临床医学</v>
      </c>
      <c r="F90" s="9" t="str">
        <f>"2018010224"</f>
        <v>2018010224</v>
      </c>
      <c r="G90" s="9">
        <v>0</v>
      </c>
      <c r="H90" s="9">
        <v>0</v>
      </c>
      <c r="I90" s="9">
        <f t="shared" si="4"/>
        <v>0</v>
      </c>
      <c r="J90" s="10" t="s">
        <v>4</v>
      </c>
      <c r="K90" s="3">
        <v>2</v>
      </c>
      <c r="L90" s="3">
        <v>24</v>
      </c>
    </row>
    <row r="91" spans="1:12" ht="18.75" customHeight="1">
      <c r="A91" s="3" t="str">
        <f>"10522018030116444182963"</f>
        <v>10522018030116444182963</v>
      </c>
      <c r="B91" s="8" t="s">
        <v>7</v>
      </c>
      <c r="C91" s="9" t="str">
        <f>"女"</f>
        <v>女</v>
      </c>
      <c r="D91" s="9" t="str">
        <f>"341223199312245222"</f>
        <v>341223199312245222</v>
      </c>
      <c r="E91" s="14" t="str">
        <f t="shared" si="3"/>
        <v>临床医学</v>
      </c>
      <c r="F91" s="9" t="str">
        <f>"2018010227"</f>
        <v>2018010227</v>
      </c>
      <c r="G91" s="9">
        <v>0</v>
      </c>
      <c r="H91" s="9">
        <v>0</v>
      </c>
      <c r="I91" s="9">
        <f t="shared" si="4"/>
        <v>0</v>
      </c>
      <c r="J91" s="10" t="s">
        <v>4</v>
      </c>
      <c r="K91" s="3">
        <v>2</v>
      </c>
      <c r="L91" s="3">
        <v>27</v>
      </c>
    </row>
    <row r="92" spans="1:12" ht="18.75" customHeight="1">
      <c r="A92" s="3" t="str">
        <f>"10522018030123411383055"</f>
        <v>10522018030123411383055</v>
      </c>
      <c r="B92" s="8" t="s">
        <v>7</v>
      </c>
      <c r="C92" s="9" t="str">
        <f>"男"</f>
        <v>男</v>
      </c>
      <c r="D92" s="9" t="str">
        <f>"341227199212031556"</f>
        <v>341227199212031556</v>
      </c>
      <c r="E92" s="14" t="str">
        <f t="shared" si="3"/>
        <v>临床医学</v>
      </c>
      <c r="F92" s="9" t="str">
        <f>"2018010229"</f>
        <v>2018010229</v>
      </c>
      <c r="G92" s="9">
        <v>0</v>
      </c>
      <c r="H92" s="9">
        <v>0</v>
      </c>
      <c r="I92" s="9">
        <f t="shared" si="4"/>
        <v>0</v>
      </c>
      <c r="J92" s="10" t="s">
        <v>4</v>
      </c>
      <c r="K92" s="3">
        <v>2</v>
      </c>
      <c r="L92" s="3">
        <v>29</v>
      </c>
    </row>
    <row r="93" spans="1:12" ht="18.75" customHeight="1">
      <c r="A93" s="3" t="str">
        <f>"10522018022718545182341"</f>
        <v>10522018022718545182341</v>
      </c>
      <c r="B93" s="8" t="s">
        <v>7</v>
      </c>
      <c r="C93" s="9" t="str">
        <f>"男"</f>
        <v>男</v>
      </c>
      <c r="D93" s="9" t="str">
        <f>"34162119900906513X"</f>
        <v>34162119900906513X</v>
      </c>
      <c r="E93" s="14" t="str">
        <f t="shared" si="3"/>
        <v>临床医学</v>
      </c>
      <c r="F93" s="9" t="str">
        <f>"2018010301"</f>
        <v>2018010301</v>
      </c>
      <c r="G93" s="9">
        <v>0</v>
      </c>
      <c r="H93" s="9">
        <v>0</v>
      </c>
      <c r="I93" s="9">
        <f t="shared" si="4"/>
        <v>0</v>
      </c>
      <c r="J93" s="10" t="s">
        <v>4</v>
      </c>
      <c r="K93" s="3">
        <v>3</v>
      </c>
      <c r="L93" s="3">
        <v>1</v>
      </c>
    </row>
    <row r="94" spans="1:12" ht="18.75" customHeight="1">
      <c r="A94" s="3" t="str">
        <f>"10522018030212354483131"</f>
        <v>10522018030212354483131</v>
      </c>
      <c r="B94" s="8" t="s">
        <v>7</v>
      </c>
      <c r="C94" s="9" t="str">
        <f>"女"</f>
        <v>女</v>
      </c>
      <c r="D94" s="9" t="str">
        <f>"342921199405224822"</f>
        <v>342921199405224822</v>
      </c>
      <c r="E94" s="14" t="str">
        <f t="shared" si="3"/>
        <v>临床医学</v>
      </c>
      <c r="F94" s="9" t="str">
        <f>"2018010305"</f>
        <v>2018010305</v>
      </c>
      <c r="G94" s="9">
        <v>0</v>
      </c>
      <c r="H94" s="9">
        <v>0</v>
      </c>
      <c r="I94" s="9">
        <f t="shared" si="4"/>
        <v>0</v>
      </c>
      <c r="J94" s="10" t="s">
        <v>4</v>
      </c>
      <c r="K94" s="3">
        <v>3</v>
      </c>
      <c r="L94" s="3">
        <v>5</v>
      </c>
    </row>
    <row r="95" spans="1:12" ht="18.75" customHeight="1">
      <c r="A95" s="3" t="str">
        <f>"10522018022809143282479"</f>
        <v>10522018022809143282479</v>
      </c>
      <c r="B95" s="8" t="s">
        <v>7</v>
      </c>
      <c r="C95" s="9" t="str">
        <f>"男"</f>
        <v>男</v>
      </c>
      <c r="D95" s="9" t="str">
        <f>"341621198904100515"</f>
        <v>341621198904100515</v>
      </c>
      <c r="E95" s="14" t="str">
        <f t="shared" si="3"/>
        <v>临床医学</v>
      </c>
      <c r="F95" s="9" t="str">
        <f>"2018010314"</f>
        <v>2018010314</v>
      </c>
      <c r="G95" s="9">
        <v>0</v>
      </c>
      <c r="H95" s="9">
        <v>0</v>
      </c>
      <c r="I95" s="9">
        <f t="shared" si="4"/>
        <v>0</v>
      </c>
      <c r="J95" s="10" t="s">
        <v>4</v>
      </c>
      <c r="K95" s="3">
        <v>3</v>
      </c>
      <c r="L95" s="3">
        <v>14</v>
      </c>
    </row>
    <row r="96" spans="1:12" ht="18.75" customHeight="1">
      <c r="A96" s="3" t="str">
        <f>"10522018022820584982736"</f>
        <v>10522018022820584982736</v>
      </c>
      <c r="B96" s="8" t="s">
        <v>7</v>
      </c>
      <c r="C96" s="9" t="str">
        <f>"男"</f>
        <v>男</v>
      </c>
      <c r="D96" s="9" t="str">
        <f>"340824199402182016"</f>
        <v>340824199402182016</v>
      </c>
      <c r="E96" s="14" t="str">
        <f>"临床专业"</f>
        <v>临床专业</v>
      </c>
      <c r="F96" s="9" t="str">
        <f>"2018010320"</f>
        <v>2018010320</v>
      </c>
      <c r="G96" s="9">
        <v>0</v>
      </c>
      <c r="H96" s="9">
        <v>0</v>
      </c>
      <c r="I96" s="9">
        <f t="shared" si="4"/>
        <v>0</v>
      </c>
      <c r="J96" s="10" t="s">
        <v>4</v>
      </c>
      <c r="K96" s="3">
        <v>3</v>
      </c>
      <c r="L96" s="3">
        <v>20</v>
      </c>
    </row>
    <row r="97" spans="1:12" ht="18.75" customHeight="1">
      <c r="A97" s="3" t="str">
        <f>"10522018030206263283061"</f>
        <v>10522018030206263283061</v>
      </c>
      <c r="B97" s="8" t="s">
        <v>7</v>
      </c>
      <c r="C97" s="9" t="str">
        <f>"男"</f>
        <v>男</v>
      </c>
      <c r="D97" s="9" t="str">
        <f>"341281199408262813"</f>
        <v>341281199408262813</v>
      </c>
      <c r="E97" s="14" t="str">
        <f>"临床医学"</f>
        <v>临床医学</v>
      </c>
      <c r="F97" s="9" t="str">
        <f>"2018010326"</f>
        <v>2018010326</v>
      </c>
      <c r="G97" s="9">
        <v>0</v>
      </c>
      <c r="H97" s="9">
        <v>0</v>
      </c>
      <c r="I97" s="9">
        <f t="shared" si="4"/>
        <v>0</v>
      </c>
      <c r="J97" s="10" t="s">
        <v>4</v>
      </c>
      <c r="K97" s="3">
        <v>3</v>
      </c>
      <c r="L97" s="3">
        <v>26</v>
      </c>
    </row>
    <row r="98" spans="1:12" ht="18.75" customHeight="1">
      <c r="A98" s="3" t="str">
        <f>"10522018030211132283111"</f>
        <v>10522018030211132283111</v>
      </c>
      <c r="B98" s="8" t="s">
        <v>7</v>
      </c>
      <c r="C98" s="9" t="str">
        <f>"女"</f>
        <v>女</v>
      </c>
      <c r="D98" s="9" t="str">
        <f>"34128219930601038X"</f>
        <v>34128219930601038X</v>
      </c>
      <c r="E98" s="14" t="str">
        <f>"临床医学"</f>
        <v>临床医学</v>
      </c>
      <c r="F98" s="9" t="str">
        <f>"2018010329"</f>
        <v>2018010329</v>
      </c>
      <c r="G98" s="9">
        <v>0</v>
      </c>
      <c r="H98" s="9">
        <v>0</v>
      </c>
      <c r="I98" s="9">
        <f t="shared" si="4"/>
        <v>0</v>
      </c>
      <c r="J98" s="10" t="s">
        <v>4</v>
      </c>
      <c r="K98" s="3">
        <v>3</v>
      </c>
      <c r="L98" s="3">
        <v>29</v>
      </c>
    </row>
    <row r="99" spans="1:12" ht="18.75" customHeight="1">
      <c r="A99" s="3" t="str">
        <f>"10522018022614354081886"</f>
        <v>10522018022614354081886</v>
      </c>
      <c r="B99" s="8" t="s">
        <v>8</v>
      </c>
      <c r="C99" s="9" t="str">
        <f t="shared" ref="C99:C104" si="5">"男"</f>
        <v>男</v>
      </c>
      <c r="D99" s="9" t="str">
        <f>"341281199506018419"</f>
        <v>341281199506018419</v>
      </c>
      <c r="E99" s="14" t="str">
        <f>"临床医学"</f>
        <v>临床医学</v>
      </c>
      <c r="F99" s="9" t="str">
        <f>"2018013607"</f>
        <v>2018013607</v>
      </c>
      <c r="G99" s="9">
        <v>72.5</v>
      </c>
      <c r="H99" s="9">
        <v>75</v>
      </c>
      <c r="I99" s="9">
        <f t="shared" si="4"/>
        <v>74.25</v>
      </c>
      <c r="J99" s="9"/>
      <c r="K99" s="3">
        <v>36</v>
      </c>
      <c r="L99" s="3">
        <v>7</v>
      </c>
    </row>
    <row r="100" spans="1:12" ht="18.75" customHeight="1">
      <c r="A100" s="3" t="str">
        <f>"10522018022610363081689"</f>
        <v>10522018022610363081689</v>
      </c>
      <c r="B100" s="8" t="s">
        <v>8</v>
      </c>
      <c r="C100" s="9" t="str">
        <f t="shared" si="5"/>
        <v>男</v>
      </c>
      <c r="D100" s="9" t="str">
        <f>"341223199002274319"</f>
        <v>341223199002274319</v>
      </c>
      <c r="E100" s="14" t="str">
        <f>"临床医学"</f>
        <v>临床医学</v>
      </c>
      <c r="F100" s="9" t="str">
        <f>"2018013611"</f>
        <v>2018013611</v>
      </c>
      <c r="G100" s="9">
        <v>73</v>
      </c>
      <c r="H100" s="9">
        <v>73</v>
      </c>
      <c r="I100" s="9">
        <f t="shared" si="4"/>
        <v>73</v>
      </c>
      <c r="J100" s="9"/>
      <c r="K100" s="3">
        <v>36</v>
      </c>
      <c r="L100" s="3">
        <v>11</v>
      </c>
    </row>
    <row r="101" spans="1:12" ht="18.75" customHeight="1">
      <c r="A101" s="3" t="str">
        <f>"10522018022718124682326"</f>
        <v>10522018022718124682326</v>
      </c>
      <c r="B101" s="8" t="s">
        <v>8</v>
      </c>
      <c r="C101" s="9" t="str">
        <f t="shared" si="5"/>
        <v>男</v>
      </c>
      <c r="D101" s="9" t="str">
        <f>"340321199310245618"</f>
        <v>340321199310245618</v>
      </c>
      <c r="E101" s="14" t="str">
        <f>"临床医学"</f>
        <v>临床医学</v>
      </c>
      <c r="F101" s="9" t="str">
        <f>"2018013609"</f>
        <v>2018013609</v>
      </c>
      <c r="G101" s="9">
        <v>36.5</v>
      </c>
      <c r="H101" s="9">
        <v>76</v>
      </c>
      <c r="I101" s="9">
        <f t="shared" si="4"/>
        <v>64.149999999999991</v>
      </c>
      <c r="J101" s="9"/>
      <c r="K101" s="3">
        <v>36</v>
      </c>
      <c r="L101" s="3">
        <v>9</v>
      </c>
    </row>
    <row r="102" spans="1:12" ht="18.75" customHeight="1">
      <c r="A102" s="3" t="str">
        <f>"10522018022615174681914"</f>
        <v>10522018022615174681914</v>
      </c>
      <c r="B102" s="8" t="s">
        <v>8</v>
      </c>
      <c r="C102" s="9" t="str">
        <f t="shared" si="5"/>
        <v>男</v>
      </c>
      <c r="D102" s="9" t="str">
        <f>"341621199109123931"</f>
        <v>341621199109123931</v>
      </c>
      <c r="E102" s="14" t="str">
        <f>"临床医学专业"</f>
        <v>临床医学专业</v>
      </c>
      <c r="F102" s="9" t="str">
        <f>"2018013612"</f>
        <v>2018013612</v>
      </c>
      <c r="G102" s="9">
        <v>57.5</v>
      </c>
      <c r="H102" s="9">
        <v>49</v>
      </c>
      <c r="I102" s="9">
        <f t="shared" si="4"/>
        <v>51.55</v>
      </c>
      <c r="J102" s="9"/>
      <c r="K102" s="3">
        <v>36</v>
      </c>
      <c r="L102" s="3">
        <v>12</v>
      </c>
    </row>
    <row r="103" spans="1:12" ht="18.75" customHeight="1">
      <c r="A103" s="3" t="str">
        <f>"10522018030108294982788"</f>
        <v>10522018030108294982788</v>
      </c>
      <c r="B103" s="8" t="s">
        <v>8</v>
      </c>
      <c r="C103" s="9" t="str">
        <f t="shared" si="5"/>
        <v>男</v>
      </c>
      <c r="D103" s="9" t="str">
        <f>"341227199209099576"</f>
        <v>341227199209099576</v>
      </c>
      <c r="E103" s="14" t="str">
        <f>"临床医学"</f>
        <v>临床医学</v>
      </c>
      <c r="F103" s="9" t="str">
        <f>"2018013610"</f>
        <v>2018013610</v>
      </c>
      <c r="G103" s="9">
        <v>48</v>
      </c>
      <c r="H103" s="9">
        <v>52</v>
      </c>
      <c r="I103" s="9">
        <f t="shared" si="4"/>
        <v>50.8</v>
      </c>
      <c r="J103" s="9"/>
      <c r="K103" s="3">
        <v>36</v>
      </c>
      <c r="L103" s="3">
        <v>10</v>
      </c>
    </row>
    <row r="104" spans="1:12" ht="18.75" customHeight="1">
      <c r="A104" s="3" t="str">
        <f>"10522018030209384683090"</f>
        <v>10522018030209384683090</v>
      </c>
      <c r="B104" s="8" t="s">
        <v>8</v>
      </c>
      <c r="C104" s="9" t="str">
        <f t="shared" si="5"/>
        <v>男</v>
      </c>
      <c r="D104" s="9" t="str">
        <f>"341223199205045137"</f>
        <v>341223199205045137</v>
      </c>
      <c r="E104" s="14" t="str">
        <f>"临床医学"</f>
        <v>临床医学</v>
      </c>
      <c r="F104" s="9" t="str">
        <f>"2018013608"</f>
        <v>2018013608</v>
      </c>
      <c r="G104" s="9">
        <v>0</v>
      </c>
      <c r="H104" s="9">
        <v>0</v>
      </c>
      <c r="I104" s="9">
        <f t="shared" si="4"/>
        <v>0</v>
      </c>
      <c r="J104" s="10" t="s">
        <v>4</v>
      </c>
      <c r="K104" s="3">
        <v>36</v>
      </c>
      <c r="L104" s="3">
        <v>8</v>
      </c>
    </row>
    <row r="105" spans="1:12" ht="18.75" customHeight="1">
      <c r="A105" s="3" t="str">
        <f>"10522018022718452382334"</f>
        <v>10522018022718452382334</v>
      </c>
      <c r="B105" s="8" t="s">
        <v>9</v>
      </c>
      <c r="C105" s="9" t="str">
        <f>"女"</f>
        <v>女</v>
      </c>
      <c r="D105" s="9" t="str">
        <f>"341622199407213325"</f>
        <v>341622199407213325</v>
      </c>
      <c r="E105" s="14" t="str">
        <f>"麻醉学"</f>
        <v>麻醉学</v>
      </c>
      <c r="F105" s="9" t="str">
        <f>"2018013624"</f>
        <v>2018013624</v>
      </c>
      <c r="G105" s="9">
        <v>55</v>
      </c>
      <c r="H105" s="9">
        <v>79</v>
      </c>
      <c r="I105" s="9">
        <f t="shared" si="4"/>
        <v>71.8</v>
      </c>
      <c r="J105" s="9"/>
      <c r="K105" s="3">
        <v>36</v>
      </c>
      <c r="L105" s="3">
        <v>24</v>
      </c>
    </row>
    <row r="106" spans="1:12" ht="18.75" customHeight="1">
      <c r="A106" s="3" t="str">
        <f>"10522018030108591382799"</f>
        <v>10522018030108591382799</v>
      </c>
      <c r="B106" s="8" t="s">
        <v>9</v>
      </c>
      <c r="C106" s="9" t="str">
        <f>"男"</f>
        <v>男</v>
      </c>
      <c r="D106" s="9" t="str">
        <f>"341223199204081718"</f>
        <v>341223199204081718</v>
      </c>
      <c r="E106" s="14" t="str">
        <f>"麻醉学"</f>
        <v>麻醉学</v>
      </c>
      <c r="F106" s="9" t="str">
        <f>"2018013622"</f>
        <v>2018013622</v>
      </c>
      <c r="G106" s="9">
        <v>62</v>
      </c>
      <c r="H106" s="9">
        <v>74</v>
      </c>
      <c r="I106" s="9">
        <f t="shared" si="4"/>
        <v>70.399999999999991</v>
      </c>
      <c r="J106" s="9"/>
      <c r="K106" s="3">
        <v>36</v>
      </c>
      <c r="L106" s="3">
        <v>22</v>
      </c>
    </row>
    <row r="107" spans="1:12" ht="18.75" customHeight="1">
      <c r="A107" s="3" t="str">
        <f>"10522018022817162282662"</f>
        <v>10522018022817162282662</v>
      </c>
      <c r="B107" s="8" t="s">
        <v>9</v>
      </c>
      <c r="C107" s="9" t="str">
        <f>"男"</f>
        <v>男</v>
      </c>
      <c r="D107" s="9" t="str">
        <f>"341621199311123513"</f>
        <v>341621199311123513</v>
      </c>
      <c r="E107" s="14" t="str">
        <f>"麻醉"</f>
        <v>麻醉</v>
      </c>
      <c r="F107" s="9" t="str">
        <f>"2018013620"</f>
        <v>2018013620</v>
      </c>
      <c r="G107" s="9">
        <v>44</v>
      </c>
      <c r="H107" s="9">
        <v>75</v>
      </c>
      <c r="I107" s="9">
        <f t="shared" si="4"/>
        <v>65.7</v>
      </c>
      <c r="J107" s="9"/>
      <c r="K107" s="3">
        <v>36</v>
      </c>
      <c r="L107" s="3">
        <v>20</v>
      </c>
    </row>
    <row r="108" spans="1:12" ht="18.75" customHeight="1">
      <c r="A108" s="3" t="str">
        <f>"10522018022714323482264"</f>
        <v>10522018022714323482264</v>
      </c>
      <c r="B108" s="8" t="s">
        <v>9</v>
      </c>
      <c r="C108" s="9" t="str">
        <f>"男"</f>
        <v>男</v>
      </c>
      <c r="D108" s="9" t="str">
        <f>"341223199607134976"</f>
        <v>341223199607134976</v>
      </c>
      <c r="E108" s="14" t="str">
        <f>"麻醉学"</f>
        <v>麻醉学</v>
      </c>
      <c r="F108" s="9" t="str">
        <f>"2018013619"</f>
        <v>2018013619</v>
      </c>
      <c r="G108" s="9">
        <v>0</v>
      </c>
      <c r="H108" s="9">
        <v>0</v>
      </c>
      <c r="I108" s="9">
        <f t="shared" si="4"/>
        <v>0</v>
      </c>
      <c r="J108" s="10" t="s">
        <v>4</v>
      </c>
      <c r="K108" s="3">
        <v>36</v>
      </c>
      <c r="L108" s="3">
        <v>19</v>
      </c>
    </row>
    <row r="109" spans="1:12" ht="18.75" customHeight="1">
      <c r="A109" s="3" t="str">
        <f>"10522018030118263182990"</f>
        <v>10522018030118263182990</v>
      </c>
      <c r="B109" s="8" t="s">
        <v>9</v>
      </c>
      <c r="C109" s="9" t="str">
        <f>"女"</f>
        <v>女</v>
      </c>
      <c r="D109" s="9" t="str">
        <f>"341281199402044647"</f>
        <v>341281199402044647</v>
      </c>
      <c r="E109" s="14" t="str">
        <f>"麻醉学"</f>
        <v>麻醉学</v>
      </c>
      <c r="F109" s="9" t="str">
        <f>"2018013621"</f>
        <v>2018013621</v>
      </c>
      <c r="G109" s="9">
        <v>0</v>
      </c>
      <c r="H109" s="9">
        <v>0</v>
      </c>
      <c r="I109" s="9">
        <f t="shared" si="4"/>
        <v>0</v>
      </c>
      <c r="J109" s="10" t="s">
        <v>4</v>
      </c>
      <c r="K109" s="3">
        <v>36</v>
      </c>
      <c r="L109" s="3">
        <v>21</v>
      </c>
    </row>
    <row r="110" spans="1:12" ht="18.75" customHeight="1">
      <c r="A110" s="3" t="str">
        <f>"10522018030214505983169"</f>
        <v>10522018030214505983169</v>
      </c>
      <c r="B110" s="8" t="s">
        <v>9</v>
      </c>
      <c r="C110" s="9" t="str">
        <f>"女"</f>
        <v>女</v>
      </c>
      <c r="D110" s="9" t="str">
        <f>"341623199002049527"</f>
        <v>341623199002049527</v>
      </c>
      <c r="E110" s="14" t="str">
        <f>"麻醉学"</f>
        <v>麻醉学</v>
      </c>
      <c r="F110" s="9" t="str">
        <f>"2018013623"</f>
        <v>2018013623</v>
      </c>
      <c r="G110" s="9">
        <v>0</v>
      </c>
      <c r="H110" s="9">
        <v>0</v>
      </c>
      <c r="I110" s="9">
        <f t="shared" si="4"/>
        <v>0</v>
      </c>
      <c r="J110" s="10" t="s">
        <v>4</v>
      </c>
      <c r="K110" s="3">
        <v>36</v>
      </c>
      <c r="L110" s="3">
        <v>23</v>
      </c>
    </row>
    <row r="111" spans="1:12" ht="18.75" customHeight="1">
      <c r="A111" s="3" t="str">
        <f>"10522018022709261682146"</f>
        <v>10522018022709261682146</v>
      </c>
      <c r="B111" s="8" t="s">
        <v>10</v>
      </c>
      <c r="C111" s="9" t="str">
        <f>"男"</f>
        <v>男</v>
      </c>
      <c r="D111" s="9" t="str">
        <f>"341223199301195119"</f>
        <v>341223199301195119</v>
      </c>
      <c r="E111" s="14" t="str">
        <f>"口腔医学"</f>
        <v>口腔医学</v>
      </c>
      <c r="F111" s="9" t="str">
        <f>"2018013708"</f>
        <v>2018013708</v>
      </c>
      <c r="G111" s="9">
        <v>66.5</v>
      </c>
      <c r="H111" s="9">
        <v>100</v>
      </c>
      <c r="I111" s="9">
        <f t="shared" si="4"/>
        <v>89.95</v>
      </c>
      <c r="J111" s="9"/>
      <c r="K111" s="3">
        <v>37</v>
      </c>
      <c r="L111" s="3">
        <v>8</v>
      </c>
    </row>
    <row r="112" spans="1:12" ht="18.75" customHeight="1">
      <c r="A112" s="3" t="str">
        <f>"10522018022613222181837"</f>
        <v>10522018022613222181837</v>
      </c>
      <c r="B112" s="8" t="s">
        <v>10</v>
      </c>
      <c r="C112" s="9" t="str">
        <f>"女"</f>
        <v>女</v>
      </c>
      <c r="D112" s="9" t="str">
        <f>"341281199412080844"</f>
        <v>341281199412080844</v>
      </c>
      <c r="E112" s="14" t="str">
        <f>"口腔医学"</f>
        <v>口腔医学</v>
      </c>
      <c r="F112" s="9" t="str">
        <f>"2018013702"</f>
        <v>2018013702</v>
      </c>
      <c r="G112" s="9">
        <v>70.5</v>
      </c>
      <c r="H112" s="9">
        <v>87</v>
      </c>
      <c r="I112" s="9">
        <f t="shared" si="4"/>
        <v>82.05</v>
      </c>
      <c r="J112" s="9"/>
      <c r="K112" s="3">
        <v>37</v>
      </c>
      <c r="L112" s="3">
        <v>2</v>
      </c>
    </row>
    <row r="113" spans="1:12" ht="18.75" customHeight="1">
      <c r="A113" s="3" t="str">
        <f>"10522018022715182882279"</f>
        <v>10522018022715182882279</v>
      </c>
      <c r="B113" s="8" t="s">
        <v>10</v>
      </c>
      <c r="C113" s="9" t="str">
        <f>"女"</f>
        <v>女</v>
      </c>
      <c r="D113" s="9" t="str">
        <f>"341223199010115326"</f>
        <v>341223199010115326</v>
      </c>
      <c r="E113" s="14" t="str">
        <f>"口腔医学专业"</f>
        <v>口腔医学专业</v>
      </c>
      <c r="F113" s="9" t="str">
        <f>"2018013705"</f>
        <v>2018013705</v>
      </c>
      <c r="G113" s="9">
        <v>45</v>
      </c>
      <c r="H113" s="9">
        <v>87</v>
      </c>
      <c r="I113" s="9">
        <f t="shared" si="4"/>
        <v>74.400000000000006</v>
      </c>
      <c r="J113" s="9"/>
      <c r="K113" s="3">
        <v>37</v>
      </c>
      <c r="L113" s="3">
        <v>5</v>
      </c>
    </row>
    <row r="114" spans="1:12" ht="18.75" customHeight="1">
      <c r="A114" s="3" t="str">
        <f>"10522018022720504382408"</f>
        <v>10522018022720504382408</v>
      </c>
      <c r="B114" s="8" t="s">
        <v>10</v>
      </c>
      <c r="C114" s="9" t="str">
        <f>"女"</f>
        <v>女</v>
      </c>
      <c r="D114" s="9" t="str">
        <f>"341281198908264669"</f>
        <v>341281198908264669</v>
      </c>
      <c r="E114" s="14" t="str">
        <f>"口腔医学"</f>
        <v>口腔医学</v>
      </c>
      <c r="F114" s="9" t="str">
        <f>"2018013703"</f>
        <v>2018013703</v>
      </c>
      <c r="G114" s="9">
        <v>58</v>
      </c>
      <c r="H114" s="9">
        <v>81</v>
      </c>
      <c r="I114" s="9">
        <f t="shared" si="4"/>
        <v>74.099999999999994</v>
      </c>
      <c r="J114" s="9"/>
      <c r="K114" s="3">
        <v>37</v>
      </c>
      <c r="L114" s="3">
        <v>3</v>
      </c>
    </row>
    <row r="115" spans="1:12" ht="18.75" customHeight="1">
      <c r="A115" s="3" t="str">
        <f>"10522018022712462582222"</f>
        <v>10522018022712462582222</v>
      </c>
      <c r="B115" s="8" t="s">
        <v>10</v>
      </c>
      <c r="C115" s="9" t="str">
        <f>"男"</f>
        <v>男</v>
      </c>
      <c r="D115" s="9" t="str">
        <f>"341223199501015135"</f>
        <v>341223199501015135</v>
      </c>
      <c r="E115" s="14" t="str">
        <f>"口腔医学"</f>
        <v>口腔医学</v>
      </c>
      <c r="F115" s="9" t="str">
        <f>"2018013706"</f>
        <v>2018013706</v>
      </c>
      <c r="G115" s="9">
        <v>73.5</v>
      </c>
      <c r="H115" s="9">
        <v>72</v>
      </c>
      <c r="I115" s="9">
        <f t="shared" si="4"/>
        <v>72.45</v>
      </c>
      <c r="J115" s="9"/>
      <c r="K115" s="3">
        <v>37</v>
      </c>
      <c r="L115" s="3">
        <v>6</v>
      </c>
    </row>
    <row r="116" spans="1:12" ht="18.75" customHeight="1">
      <c r="A116" s="3" t="str">
        <f>"10522018022712170582215"</f>
        <v>10522018022712170582215</v>
      </c>
      <c r="B116" s="8" t="s">
        <v>10</v>
      </c>
      <c r="C116" s="9" t="str">
        <f>"男"</f>
        <v>男</v>
      </c>
      <c r="D116" s="9" t="str">
        <f>"341204199503101433"</f>
        <v>341204199503101433</v>
      </c>
      <c r="E116" s="14" t="str">
        <f>"口腔医学"</f>
        <v>口腔医学</v>
      </c>
      <c r="F116" s="9" t="str">
        <f>"2018013701"</f>
        <v>2018013701</v>
      </c>
      <c r="G116" s="9">
        <v>0</v>
      </c>
      <c r="H116" s="9">
        <v>0</v>
      </c>
      <c r="I116" s="9">
        <f t="shared" si="4"/>
        <v>0</v>
      </c>
      <c r="J116" s="10" t="s">
        <v>4</v>
      </c>
      <c r="K116" s="3">
        <v>37</v>
      </c>
      <c r="L116" s="3">
        <v>1</v>
      </c>
    </row>
    <row r="117" spans="1:12" ht="18.75" customHeight="1">
      <c r="A117" s="3" t="str">
        <f>"10522018022721185782419"</f>
        <v>10522018022721185782419</v>
      </c>
      <c r="B117" s="8" t="s">
        <v>10</v>
      </c>
      <c r="C117" s="9" t="str">
        <f>"女"</f>
        <v>女</v>
      </c>
      <c r="D117" s="9" t="str">
        <f>"341281199403295026"</f>
        <v>341281199403295026</v>
      </c>
      <c r="E117" s="14" t="str">
        <f>"口腔医学"</f>
        <v>口腔医学</v>
      </c>
      <c r="F117" s="9" t="str">
        <f>"2018013704"</f>
        <v>2018013704</v>
      </c>
      <c r="G117" s="9">
        <v>0</v>
      </c>
      <c r="H117" s="9">
        <v>0</v>
      </c>
      <c r="I117" s="9">
        <f t="shared" si="4"/>
        <v>0</v>
      </c>
      <c r="J117" s="10" t="s">
        <v>4</v>
      </c>
      <c r="K117" s="3">
        <v>37</v>
      </c>
      <c r="L117" s="3">
        <v>4</v>
      </c>
    </row>
    <row r="118" spans="1:12" ht="18.75" customHeight="1">
      <c r="A118" s="3" t="str">
        <f>"10522018022723194982448"</f>
        <v>10522018022723194982448</v>
      </c>
      <c r="B118" s="8" t="s">
        <v>10</v>
      </c>
      <c r="C118" s="9" t="str">
        <f>"女"</f>
        <v>女</v>
      </c>
      <c r="D118" s="9" t="str">
        <f>"341221199203208702"</f>
        <v>341221199203208702</v>
      </c>
      <c r="E118" s="14" t="str">
        <f>"口腔医学"</f>
        <v>口腔医学</v>
      </c>
      <c r="F118" s="9" t="str">
        <f>"2018013707"</f>
        <v>2018013707</v>
      </c>
      <c r="G118" s="9">
        <v>0</v>
      </c>
      <c r="H118" s="9">
        <v>0</v>
      </c>
      <c r="I118" s="9">
        <f t="shared" si="4"/>
        <v>0</v>
      </c>
      <c r="J118" s="10" t="s">
        <v>4</v>
      </c>
      <c r="K118" s="3">
        <v>37</v>
      </c>
      <c r="L118" s="3">
        <v>7</v>
      </c>
    </row>
    <row r="119" spans="1:12" ht="18.75" customHeight="1">
      <c r="A119" s="3" t="str">
        <f>"10522018022712024482208"</f>
        <v>10522018022712024482208</v>
      </c>
      <c r="B119" s="8" t="s">
        <v>11</v>
      </c>
      <c r="C119" s="9" t="str">
        <f>"女"</f>
        <v>女</v>
      </c>
      <c r="D119" s="9" t="str">
        <f>"341621199507302521"</f>
        <v>341621199507302521</v>
      </c>
      <c r="E119" s="14" t="str">
        <f>"针灸推拿学"</f>
        <v>针灸推拿学</v>
      </c>
      <c r="F119" s="9" t="str">
        <f>"2018013901"</f>
        <v>2018013901</v>
      </c>
      <c r="G119" s="9">
        <v>54.5</v>
      </c>
      <c r="H119" s="9">
        <v>88</v>
      </c>
      <c r="I119" s="9">
        <f t="shared" si="4"/>
        <v>77.949999999999989</v>
      </c>
      <c r="J119" s="9"/>
      <c r="K119" s="3">
        <v>39</v>
      </c>
      <c r="L119" s="3">
        <v>1</v>
      </c>
    </row>
    <row r="120" spans="1:12" ht="18.75" customHeight="1">
      <c r="A120" s="3" t="str">
        <f>"10522018022618345582013"</f>
        <v>10522018022618345582013</v>
      </c>
      <c r="B120" s="8" t="s">
        <v>11</v>
      </c>
      <c r="C120" s="9" t="str">
        <f>"女"</f>
        <v>女</v>
      </c>
      <c r="D120" s="9" t="str">
        <f>"341223199211204149"</f>
        <v>341223199211204149</v>
      </c>
      <c r="E120" s="14" t="str">
        <f>"针灸推拿学"</f>
        <v>针灸推拿学</v>
      </c>
      <c r="F120" s="9" t="str">
        <f>"2018013904"</f>
        <v>2018013904</v>
      </c>
      <c r="G120" s="9">
        <v>47</v>
      </c>
      <c r="H120" s="9">
        <v>83.5</v>
      </c>
      <c r="I120" s="9">
        <f t="shared" si="4"/>
        <v>72.55</v>
      </c>
      <c r="J120" s="9"/>
      <c r="K120" s="3">
        <v>39</v>
      </c>
      <c r="L120" s="3">
        <v>4</v>
      </c>
    </row>
    <row r="121" spans="1:12" ht="18.75" customHeight="1">
      <c r="A121" s="3" t="str">
        <f>"10522018030215215783180"</f>
        <v>10522018030215215783180</v>
      </c>
      <c r="B121" s="8" t="s">
        <v>11</v>
      </c>
      <c r="C121" s="9" t="str">
        <f>"男"</f>
        <v>男</v>
      </c>
      <c r="D121" s="9" t="str">
        <f>"341222199001153033"</f>
        <v>341222199001153033</v>
      </c>
      <c r="E121" s="14" t="str">
        <f>"针灸推拿学"</f>
        <v>针灸推拿学</v>
      </c>
      <c r="F121" s="9" t="str">
        <f>"2018013902"</f>
        <v>2018013902</v>
      </c>
      <c r="G121" s="9">
        <v>61</v>
      </c>
      <c r="H121" s="9">
        <v>65</v>
      </c>
      <c r="I121" s="9">
        <f t="shared" si="4"/>
        <v>63.8</v>
      </c>
      <c r="J121" s="9"/>
      <c r="K121" s="3">
        <v>39</v>
      </c>
      <c r="L121" s="3">
        <v>2</v>
      </c>
    </row>
    <row r="122" spans="1:12" ht="18.75" customHeight="1">
      <c r="A122" s="3" t="str">
        <f>"10522018030115314882932"</f>
        <v>10522018030115314882932</v>
      </c>
      <c r="B122" s="8" t="s">
        <v>11</v>
      </c>
      <c r="C122" s="9" t="str">
        <f t="shared" ref="C122:C129" si="6">"女"</f>
        <v>女</v>
      </c>
      <c r="D122" s="9" t="str">
        <f>"341281199304265825"</f>
        <v>341281199304265825</v>
      </c>
      <c r="E122" s="14" t="str">
        <f>"针灸推拿学"</f>
        <v>针灸推拿学</v>
      </c>
      <c r="F122" s="9" t="str">
        <f>"2018013903"</f>
        <v>2018013903</v>
      </c>
      <c r="G122" s="9">
        <v>0</v>
      </c>
      <c r="H122" s="9">
        <v>0</v>
      </c>
      <c r="I122" s="9">
        <f t="shared" si="4"/>
        <v>0</v>
      </c>
      <c r="J122" s="10" t="s">
        <v>4</v>
      </c>
      <c r="K122" s="3">
        <v>39</v>
      </c>
      <c r="L122" s="3">
        <v>3</v>
      </c>
    </row>
    <row r="123" spans="1:12" ht="18.75" customHeight="1">
      <c r="A123" s="3" t="str">
        <f>"10522018022611023981730"</f>
        <v>10522018022611023981730</v>
      </c>
      <c r="B123" s="8" t="s">
        <v>12</v>
      </c>
      <c r="C123" s="9" t="str">
        <f t="shared" si="6"/>
        <v>女</v>
      </c>
      <c r="D123" s="9" t="str">
        <f>"341224199501161323"</f>
        <v>341224199501161323</v>
      </c>
      <c r="E123" s="14" t="str">
        <f t="shared" ref="E123:E133" si="7">"医学检验技术"</f>
        <v>医学检验技术</v>
      </c>
      <c r="F123" s="9" t="str">
        <f>"2018010416"</f>
        <v>2018010416</v>
      </c>
      <c r="G123" s="9">
        <v>61.5</v>
      </c>
      <c r="H123" s="9">
        <v>103</v>
      </c>
      <c r="I123" s="9">
        <f t="shared" si="4"/>
        <v>90.55</v>
      </c>
      <c r="J123" s="9"/>
      <c r="K123" s="3">
        <v>4</v>
      </c>
      <c r="L123" s="3">
        <v>16</v>
      </c>
    </row>
    <row r="124" spans="1:12" ht="18.75" customHeight="1">
      <c r="A124" s="3" t="str">
        <f>"10522018022615284781918"</f>
        <v>10522018022615284781918</v>
      </c>
      <c r="B124" s="8" t="s">
        <v>12</v>
      </c>
      <c r="C124" s="9" t="str">
        <f t="shared" si="6"/>
        <v>女</v>
      </c>
      <c r="D124" s="9" t="str">
        <f>"341227199412155625"</f>
        <v>341227199412155625</v>
      </c>
      <c r="E124" s="14" t="str">
        <f t="shared" si="7"/>
        <v>医学检验技术</v>
      </c>
      <c r="F124" s="9" t="str">
        <f>"2018010422"</f>
        <v>2018010422</v>
      </c>
      <c r="G124" s="9">
        <v>47</v>
      </c>
      <c r="H124" s="9">
        <v>88</v>
      </c>
      <c r="I124" s="9">
        <f t="shared" si="4"/>
        <v>75.699999999999989</v>
      </c>
      <c r="J124" s="9"/>
      <c r="K124" s="3">
        <v>4</v>
      </c>
      <c r="L124" s="3">
        <v>22</v>
      </c>
    </row>
    <row r="125" spans="1:12" ht="18.75" customHeight="1">
      <c r="A125" s="3" t="str">
        <f>"10522018022715242682282"</f>
        <v>10522018022715242682282</v>
      </c>
      <c r="B125" s="8" t="s">
        <v>12</v>
      </c>
      <c r="C125" s="9" t="str">
        <f t="shared" si="6"/>
        <v>女</v>
      </c>
      <c r="D125" s="9" t="str">
        <f>"341223199607021728"</f>
        <v>341223199607021728</v>
      </c>
      <c r="E125" s="14" t="str">
        <f t="shared" si="7"/>
        <v>医学检验技术</v>
      </c>
      <c r="F125" s="9" t="str">
        <f>"2018010419"</f>
        <v>2018010419</v>
      </c>
      <c r="G125" s="9">
        <v>70</v>
      </c>
      <c r="H125" s="9">
        <v>78</v>
      </c>
      <c r="I125" s="9">
        <f t="shared" si="4"/>
        <v>75.599999999999994</v>
      </c>
      <c r="J125" s="9"/>
      <c r="K125" s="3">
        <v>4</v>
      </c>
      <c r="L125" s="3">
        <v>19</v>
      </c>
    </row>
    <row r="126" spans="1:12" ht="18.75" customHeight="1">
      <c r="A126" s="3" t="str">
        <f>"10522018022718465782336"</f>
        <v>10522018022718465782336</v>
      </c>
      <c r="B126" s="8" t="s">
        <v>12</v>
      </c>
      <c r="C126" s="9" t="str">
        <f t="shared" si="6"/>
        <v>女</v>
      </c>
      <c r="D126" s="9" t="str">
        <f>"341223199110085128"</f>
        <v>341223199110085128</v>
      </c>
      <c r="E126" s="14" t="str">
        <f t="shared" si="7"/>
        <v>医学检验技术</v>
      </c>
      <c r="F126" s="9" t="str">
        <f>"2018010427"</f>
        <v>2018010427</v>
      </c>
      <c r="G126" s="9">
        <v>48</v>
      </c>
      <c r="H126" s="9">
        <v>87</v>
      </c>
      <c r="I126" s="9">
        <f t="shared" si="4"/>
        <v>75.3</v>
      </c>
      <c r="J126" s="9"/>
      <c r="K126" s="3">
        <v>4</v>
      </c>
      <c r="L126" s="3">
        <v>27</v>
      </c>
    </row>
    <row r="127" spans="1:12" ht="18.75" customHeight="1">
      <c r="A127" s="3" t="str">
        <f>"10522018022720121982390"</f>
        <v>10522018022720121982390</v>
      </c>
      <c r="B127" s="8" t="s">
        <v>12</v>
      </c>
      <c r="C127" s="9" t="str">
        <f t="shared" si="6"/>
        <v>女</v>
      </c>
      <c r="D127" s="9" t="str">
        <f>"341621199307161728"</f>
        <v>341621199307161728</v>
      </c>
      <c r="E127" s="14" t="str">
        <f t="shared" si="7"/>
        <v>医学检验技术</v>
      </c>
      <c r="F127" s="9" t="str">
        <f>"2018010402"</f>
        <v>2018010402</v>
      </c>
      <c r="G127" s="9">
        <v>45</v>
      </c>
      <c r="H127" s="9">
        <v>84</v>
      </c>
      <c r="I127" s="9">
        <f t="shared" si="4"/>
        <v>72.3</v>
      </c>
      <c r="J127" s="9"/>
      <c r="K127" s="3">
        <v>4</v>
      </c>
      <c r="L127" s="3">
        <v>2</v>
      </c>
    </row>
    <row r="128" spans="1:12" ht="18.75" customHeight="1">
      <c r="A128" s="3" t="str">
        <f>"10522018022614362081887"</f>
        <v>10522018022614362081887</v>
      </c>
      <c r="B128" s="8" t="s">
        <v>12</v>
      </c>
      <c r="C128" s="9" t="str">
        <f t="shared" si="6"/>
        <v>女</v>
      </c>
      <c r="D128" s="9" t="str">
        <f>"341281199406280620"</f>
        <v>341281199406280620</v>
      </c>
      <c r="E128" s="14" t="str">
        <f t="shared" si="7"/>
        <v>医学检验技术</v>
      </c>
      <c r="F128" s="9" t="str">
        <f>"2018010405"</f>
        <v>2018010405</v>
      </c>
      <c r="G128" s="9">
        <v>70.5</v>
      </c>
      <c r="H128" s="9">
        <v>73</v>
      </c>
      <c r="I128" s="9">
        <f t="shared" si="4"/>
        <v>72.25</v>
      </c>
      <c r="J128" s="9"/>
      <c r="K128" s="3">
        <v>4</v>
      </c>
      <c r="L128" s="3">
        <v>5</v>
      </c>
    </row>
    <row r="129" spans="1:12" ht="18.75" customHeight="1">
      <c r="A129" s="3" t="str">
        <f>"10522018022611161781748"</f>
        <v>10522018022611161781748</v>
      </c>
      <c r="B129" s="8" t="s">
        <v>12</v>
      </c>
      <c r="C129" s="9" t="str">
        <f t="shared" si="6"/>
        <v>女</v>
      </c>
      <c r="D129" s="9" t="str">
        <f>"341602199511140028"</f>
        <v>341602199511140028</v>
      </c>
      <c r="E129" s="14" t="str">
        <f t="shared" si="7"/>
        <v>医学检验技术</v>
      </c>
      <c r="F129" s="9" t="str">
        <f>"2018010417"</f>
        <v>2018010417</v>
      </c>
      <c r="G129" s="9">
        <v>53.5</v>
      </c>
      <c r="H129" s="9">
        <v>80</v>
      </c>
      <c r="I129" s="9">
        <f t="shared" si="4"/>
        <v>72.05</v>
      </c>
      <c r="J129" s="9"/>
      <c r="K129" s="3">
        <v>4</v>
      </c>
      <c r="L129" s="3">
        <v>17</v>
      </c>
    </row>
    <row r="130" spans="1:12" ht="18.75" customHeight="1">
      <c r="A130" s="3" t="str">
        <f>"10522018022610071481650"</f>
        <v>10522018022610071481650</v>
      </c>
      <c r="B130" s="8" t="s">
        <v>12</v>
      </c>
      <c r="C130" s="9" t="str">
        <f>"男"</f>
        <v>男</v>
      </c>
      <c r="D130" s="9" t="str">
        <f>"341281198809230615"</f>
        <v>341281198809230615</v>
      </c>
      <c r="E130" s="14" t="str">
        <f t="shared" si="7"/>
        <v>医学检验技术</v>
      </c>
      <c r="F130" s="9" t="str">
        <f>"2018010406"</f>
        <v>2018010406</v>
      </c>
      <c r="G130" s="9">
        <v>60.5</v>
      </c>
      <c r="H130" s="9">
        <v>75</v>
      </c>
      <c r="I130" s="9">
        <f t="shared" si="4"/>
        <v>70.650000000000006</v>
      </c>
      <c r="J130" s="9"/>
      <c r="K130" s="3">
        <v>4</v>
      </c>
      <c r="L130" s="3">
        <v>6</v>
      </c>
    </row>
    <row r="131" spans="1:12" ht="18.75" customHeight="1">
      <c r="A131" s="3" t="str">
        <f>"10522018022619053382025"</f>
        <v>10522018022619053382025</v>
      </c>
      <c r="B131" s="8" t="s">
        <v>12</v>
      </c>
      <c r="C131" s="9" t="str">
        <f>"女"</f>
        <v>女</v>
      </c>
      <c r="D131" s="9" t="str">
        <f>"341621199605102742"</f>
        <v>341621199605102742</v>
      </c>
      <c r="E131" s="14" t="str">
        <f t="shared" si="7"/>
        <v>医学检验技术</v>
      </c>
      <c r="F131" s="9" t="str">
        <f>"2018010425"</f>
        <v>2018010425</v>
      </c>
      <c r="G131" s="9">
        <v>53</v>
      </c>
      <c r="H131" s="9">
        <v>78</v>
      </c>
      <c r="I131" s="9">
        <f t="shared" ref="I131:I194" si="8">G131*0.3+H131*0.7</f>
        <v>70.5</v>
      </c>
      <c r="J131" s="9"/>
      <c r="K131" s="3">
        <v>4</v>
      </c>
      <c r="L131" s="3">
        <v>25</v>
      </c>
    </row>
    <row r="132" spans="1:12" ht="18.75" customHeight="1">
      <c r="A132" s="3" t="str">
        <f>"10522018030111065582836"</f>
        <v>10522018030111065582836</v>
      </c>
      <c r="B132" s="8" t="s">
        <v>12</v>
      </c>
      <c r="C132" s="9" t="str">
        <f>"女"</f>
        <v>女</v>
      </c>
      <c r="D132" s="9" t="str">
        <f>"341227199502011529"</f>
        <v>341227199502011529</v>
      </c>
      <c r="E132" s="14" t="str">
        <f t="shared" si="7"/>
        <v>医学检验技术</v>
      </c>
      <c r="F132" s="9" t="str">
        <f>"2018010413"</f>
        <v>2018010413</v>
      </c>
      <c r="G132" s="9">
        <v>39.5</v>
      </c>
      <c r="H132" s="9">
        <v>82</v>
      </c>
      <c r="I132" s="9">
        <f t="shared" si="8"/>
        <v>69.25</v>
      </c>
      <c r="J132" s="9"/>
      <c r="K132" s="3">
        <v>4</v>
      </c>
      <c r="L132" s="3">
        <v>13</v>
      </c>
    </row>
    <row r="133" spans="1:12" ht="18.75" customHeight="1">
      <c r="A133" s="3" t="str">
        <f>"10522018022818292782683"</f>
        <v>10522018022818292782683</v>
      </c>
      <c r="B133" s="8" t="s">
        <v>12</v>
      </c>
      <c r="C133" s="9" t="str">
        <f>"男"</f>
        <v>男</v>
      </c>
      <c r="D133" s="9" t="str">
        <f>"341621199109160732"</f>
        <v>341621199109160732</v>
      </c>
      <c r="E133" s="14" t="str">
        <f t="shared" si="7"/>
        <v>医学检验技术</v>
      </c>
      <c r="F133" s="9" t="str">
        <f>"2018010423"</f>
        <v>2018010423</v>
      </c>
      <c r="G133" s="9">
        <v>41</v>
      </c>
      <c r="H133" s="9">
        <v>80</v>
      </c>
      <c r="I133" s="9">
        <f t="shared" si="8"/>
        <v>68.3</v>
      </c>
      <c r="J133" s="9"/>
      <c r="K133" s="3">
        <v>4</v>
      </c>
      <c r="L133" s="3">
        <v>23</v>
      </c>
    </row>
    <row r="134" spans="1:12" ht="18.75" customHeight="1">
      <c r="A134" s="3" t="str">
        <f>"10522018022718510682340"</f>
        <v>10522018022718510682340</v>
      </c>
      <c r="B134" s="8" t="s">
        <v>12</v>
      </c>
      <c r="C134" s="9" t="str">
        <f>"男"</f>
        <v>男</v>
      </c>
      <c r="D134" s="9" t="str">
        <f>"340621199112133216"</f>
        <v>340621199112133216</v>
      </c>
      <c r="E134" s="14" t="str">
        <f>"医学检验"</f>
        <v>医学检验</v>
      </c>
      <c r="F134" s="9" t="str">
        <f>"2018010408"</f>
        <v>2018010408</v>
      </c>
      <c r="G134" s="9">
        <v>59</v>
      </c>
      <c r="H134" s="9">
        <v>71</v>
      </c>
      <c r="I134" s="9">
        <f t="shared" si="8"/>
        <v>67.399999999999991</v>
      </c>
      <c r="J134" s="9"/>
      <c r="K134" s="3">
        <v>4</v>
      </c>
      <c r="L134" s="3">
        <v>8</v>
      </c>
    </row>
    <row r="135" spans="1:12" ht="18.75" customHeight="1">
      <c r="A135" s="3" t="str">
        <f>"10522018022619403882035"</f>
        <v>10522018022619403882035</v>
      </c>
      <c r="B135" s="8" t="s">
        <v>12</v>
      </c>
      <c r="C135" s="9" t="str">
        <f>"女"</f>
        <v>女</v>
      </c>
      <c r="D135" s="9" t="str">
        <f>"412725199410071528"</f>
        <v>412725199410071528</v>
      </c>
      <c r="E135" s="14" t="str">
        <f>"医学检验技术"</f>
        <v>医学检验技术</v>
      </c>
      <c r="F135" s="9" t="str">
        <f>"2018010415"</f>
        <v>2018010415</v>
      </c>
      <c r="G135" s="9">
        <v>56.5</v>
      </c>
      <c r="H135" s="9">
        <v>72</v>
      </c>
      <c r="I135" s="9">
        <f t="shared" si="8"/>
        <v>67.349999999999994</v>
      </c>
      <c r="J135" s="9"/>
      <c r="K135" s="3">
        <v>4</v>
      </c>
      <c r="L135" s="3">
        <v>15</v>
      </c>
    </row>
    <row r="136" spans="1:12" ht="18.75" customHeight="1">
      <c r="A136" s="3" t="str">
        <f>"10522018022609064981574"</f>
        <v>10522018022609064981574</v>
      </c>
      <c r="B136" s="8" t="s">
        <v>12</v>
      </c>
      <c r="C136" s="9" t="str">
        <f>"男"</f>
        <v>男</v>
      </c>
      <c r="D136" s="9" t="str">
        <f>"341125199612140374"</f>
        <v>341125199612140374</v>
      </c>
      <c r="E136" s="14" t="str">
        <f>"医学检验技术"</f>
        <v>医学检验技术</v>
      </c>
      <c r="F136" s="9" t="str">
        <f>"2018010424"</f>
        <v>2018010424</v>
      </c>
      <c r="G136" s="9">
        <v>53</v>
      </c>
      <c r="H136" s="9">
        <v>73</v>
      </c>
      <c r="I136" s="9">
        <f t="shared" si="8"/>
        <v>67</v>
      </c>
      <c r="J136" s="9"/>
      <c r="K136" s="3">
        <v>4</v>
      </c>
      <c r="L136" s="3">
        <v>24</v>
      </c>
    </row>
    <row r="137" spans="1:12" ht="18.75" customHeight="1">
      <c r="A137" s="3" t="str">
        <f>"10522018022620343482065"</f>
        <v>10522018022620343482065</v>
      </c>
      <c r="B137" s="8" t="s">
        <v>12</v>
      </c>
      <c r="C137" s="9" t="str">
        <f>"男"</f>
        <v>男</v>
      </c>
      <c r="D137" s="9" t="str">
        <f>"34162119921225071X"</f>
        <v>34162119921225071X</v>
      </c>
      <c r="E137" s="14" t="str">
        <f>"医学检验"</f>
        <v>医学检验</v>
      </c>
      <c r="F137" s="9" t="str">
        <f>"2018010401"</f>
        <v>2018010401</v>
      </c>
      <c r="G137" s="9">
        <v>56</v>
      </c>
      <c r="H137" s="9">
        <v>68</v>
      </c>
      <c r="I137" s="9">
        <f t="shared" si="8"/>
        <v>64.399999999999991</v>
      </c>
      <c r="J137" s="9"/>
      <c r="K137" s="3">
        <v>4</v>
      </c>
      <c r="L137" s="3">
        <v>1</v>
      </c>
    </row>
    <row r="138" spans="1:12" ht="18.75" customHeight="1">
      <c r="A138" s="3" t="str">
        <f>"10522018030114333482914"</f>
        <v>10522018030114333482914</v>
      </c>
      <c r="B138" s="8" t="s">
        <v>12</v>
      </c>
      <c r="C138" s="9" t="str">
        <f>"女"</f>
        <v>女</v>
      </c>
      <c r="D138" s="9" t="str">
        <f>"341223199209011129"</f>
        <v>341223199209011129</v>
      </c>
      <c r="E138" s="14" t="str">
        <f t="shared" ref="E138:E143" si="9">"医学检验技术"</f>
        <v>医学检验技术</v>
      </c>
      <c r="F138" s="9" t="str">
        <f>"2018010410"</f>
        <v>2018010410</v>
      </c>
      <c r="G138" s="9">
        <v>38</v>
      </c>
      <c r="H138" s="9">
        <v>74</v>
      </c>
      <c r="I138" s="9">
        <f t="shared" si="8"/>
        <v>63.199999999999996</v>
      </c>
      <c r="J138" s="9"/>
      <c r="K138" s="3">
        <v>4</v>
      </c>
      <c r="L138" s="3">
        <v>10</v>
      </c>
    </row>
    <row r="139" spans="1:12" ht="18.75" customHeight="1">
      <c r="A139" s="3" t="str">
        <f>"10522018030119224883002"</f>
        <v>10522018030119224883002</v>
      </c>
      <c r="B139" s="8" t="s">
        <v>12</v>
      </c>
      <c r="C139" s="9" t="str">
        <f>"女"</f>
        <v>女</v>
      </c>
      <c r="D139" s="9" t="str">
        <f>"341226199403062383"</f>
        <v>341226199403062383</v>
      </c>
      <c r="E139" s="14" t="str">
        <f t="shared" si="9"/>
        <v>医学检验技术</v>
      </c>
      <c r="F139" s="9" t="str">
        <f>"2018010421"</f>
        <v>2018010421</v>
      </c>
      <c r="G139" s="9">
        <v>46.5</v>
      </c>
      <c r="H139" s="9">
        <v>70</v>
      </c>
      <c r="I139" s="9">
        <f t="shared" si="8"/>
        <v>62.95</v>
      </c>
      <c r="J139" s="9"/>
      <c r="K139" s="3">
        <v>4</v>
      </c>
      <c r="L139" s="3">
        <v>21</v>
      </c>
    </row>
    <row r="140" spans="1:12" ht="18.75" customHeight="1">
      <c r="A140" s="3" t="str">
        <f>"10522018022718502082338"</f>
        <v>10522018022718502082338</v>
      </c>
      <c r="B140" s="8" t="s">
        <v>12</v>
      </c>
      <c r="C140" s="9" t="str">
        <f>"男"</f>
        <v>男</v>
      </c>
      <c r="D140" s="9" t="str">
        <f>"341224199508135638"</f>
        <v>341224199508135638</v>
      </c>
      <c r="E140" s="14" t="str">
        <f t="shared" si="9"/>
        <v>医学检验技术</v>
      </c>
      <c r="F140" s="9" t="str">
        <f>"2018010420"</f>
        <v>2018010420</v>
      </c>
      <c r="G140" s="9">
        <v>45</v>
      </c>
      <c r="H140" s="9">
        <v>62</v>
      </c>
      <c r="I140" s="9">
        <f t="shared" si="8"/>
        <v>56.9</v>
      </c>
      <c r="J140" s="9"/>
      <c r="K140" s="3">
        <v>4</v>
      </c>
      <c r="L140" s="3">
        <v>20</v>
      </c>
    </row>
    <row r="141" spans="1:12" ht="18.75" customHeight="1">
      <c r="A141" s="3" t="str">
        <f>"10522018030214253383160"</f>
        <v>10522018030214253383160</v>
      </c>
      <c r="B141" s="8" t="s">
        <v>12</v>
      </c>
      <c r="C141" s="9" t="str">
        <f>"女"</f>
        <v>女</v>
      </c>
      <c r="D141" s="9" t="str">
        <f>"340621199312118424"</f>
        <v>340621199312118424</v>
      </c>
      <c r="E141" s="14" t="str">
        <f t="shared" si="9"/>
        <v>医学检验技术</v>
      </c>
      <c r="F141" s="9" t="str">
        <f>"2018010404"</f>
        <v>2018010404</v>
      </c>
      <c r="G141" s="9">
        <v>48.5</v>
      </c>
      <c r="H141" s="9">
        <v>60</v>
      </c>
      <c r="I141" s="9">
        <f t="shared" si="8"/>
        <v>56.55</v>
      </c>
      <c r="J141" s="9"/>
      <c r="K141" s="3">
        <v>4</v>
      </c>
      <c r="L141" s="3">
        <v>4</v>
      </c>
    </row>
    <row r="142" spans="1:12" ht="18.75" customHeight="1">
      <c r="A142" s="3" t="str">
        <f>"10522018022610525381719"</f>
        <v>10522018022610525381719</v>
      </c>
      <c r="B142" s="8" t="s">
        <v>12</v>
      </c>
      <c r="C142" s="9" t="str">
        <f>"男"</f>
        <v>男</v>
      </c>
      <c r="D142" s="9" t="str">
        <f>"341227199407264413"</f>
        <v>341227199407264413</v>
      </c>
      <c r="E142" s="14" t="str">
        <f t="shared" si="9"/>
        <v>医学检验技术</v>
      </c>
      <c r="F142" s="9" t="str">
        <f>"2018010428"</f>
        <v>2018010428</v>
      </c>
      <c r="G142" s="9">
        <v>46.5</v>
      </c>
      <c r="H142" s="9">
        <v>56</v>
      </c>
      <c r="I142" s="9">
        <f t="shared" si="8"/>
        <v>53.149999999999991</v>
      </c>
      <c r="J142" s="9"/>
      <c r="K142" s="3">
        <v>4</v>
      </c>
      <c r="L142" s="3">
        <v>28</v>
      </c>
    </row>
    <row r="143" spans="1:12" ht="18.75" customHeight="1">
      <c r="A143" s="3" t="str">
        <f>"10522018022615014281901"</f>
        <v>10522018022615014281901</v>
      </c>
      <c r="B143" s="8" t="s">
        <v>12</v>
      </c>
      <c r="C143" s="9" t="str">
        <f>"女"</f>
        <v>女</v>
      </c>
      <c r="D143" s="9" t="str">
        <f>"341281199402069481"</f>
        <v>341281199402069481</v>
      </c>
      <c r="E143" s="14" t="str">
        <f t="shared" si="9"/>
        <v>医学检验技术</v>
      </c>
      <c r="F143" s="9" t="str">
        <f>"2018010414"</f>
        <v>2018010414</v>
      </c>
      <c r="G143" s="9">
        <v>46.5</v>
      </c>
      <c r="H143" s="9">
        <v>54</v>
      </c>
      <c r="I143" s="9">
        <f t="shared" si="8"/>
        <v>51.75</v>
      </c>
      <c r="J143" s="9"/>
      <c r="K143" s="3">
        <v>4</v>
      </c>
      <c r="L143" s="3">
        <v>14</v>
      </c>
    </row>
    <row r="144" spans="1:12" ht="18.75" customHeight="1">
      <c r="A144" s="3" t="str">
        <f>"10522018022819292282712"</f>
        <v>10522018022819292282712</v>
      </c>
      <c r="B144" s="8" t="s">
        <v>12</v>
      </c>
      <c r="C144" s="9" t="str">
        <f>"男"</f>
        <v>男</v>
      </c>
      <c r="D144" s="9" t="str">
        <f>"342222199107142878"</f>
        <v>342222199107142878</v>
      </c>
      <c r="E144" s="14" t="str">
        <f>"医学检验"</f>
        <v>医学检验</v>
      </c>
      <c r="F144" s="9" t="str">
        <f>"2018010403"</f>
        <v>2018010403</v>
      </c>
      <c r="G144" s="9">
        <v>0</v>
      </c>
      <c r="H144" s="9">
        <v>0</v>
      </c>
      <c r="I144" s="9">
        <f t="shared" si="8"/>
        <v>0</v>
      </c>
      <c r="J144" s="10" t="s">
        <v>4</v>
      </c>
      <c r="K144" s="3">
        <v>4</v>
      </c>
      <c r="L144" s="3">
        <v>3</v>
      </c>
    </row>
    <row r="145" spans="1:12" ht="18.75" customHeight="1">
      <c r="A145" s="3" t="str">
        <f>"10522018022614085681868"</f>
        <v>10522018022614085681868</v>
      </c>
      <c r="B145" s="8" t="s">
        <v>12</v>
      </c>
      <c r="C145" s="9" t="str">
        <f>"女"</f>
        <v>女</v>
      </c>
      <c r="D145" s="9" t="str">
        <f>"34082819921012102X"</f>
        <v>34082819921012102X</v>
      </c>
      <c r="E145" s="14" t="str">
        <f>"医学检验"</f>
        <v>医学检验</v>
      </c>
      <c r="F145" s="9" t="str">
        <f>"2018010407"</f>
        <v>2018010407</v>
      </c>
      <c r="G145" s="9">
        <v>0</v>
      </c>
      <c r="H145" s="9">
        <v>0</v>
      </c>
      <c r="I145" s="9">
        <f t="shared" si="8"/>
        <v>0</v>
      </c>
      <c r="J145" s="10" t="s">
        <v>4</v>
      </c>
      <c r="K145" s="3">
        <v>4</v>
      </c>
      <c r="L145" s="3">
        <v>7</v>
      </c>
    </row>
    <row r="146" spans="1:12" ht="18.75" customHeight="1">
      <c r="A146" s="3" t="str">
        <f>"10522018030113045982882"</f>
        <v>10522018030113045982882</v>
      </c>
      <c r="B146" s="8" t="s">
        <v>12</v>
      </c>
      <c r="C146" s="9" t="str">
        <f>"男"</f>
        <v>男</v>
      </c>
      <c r="D146" s="9" t="str">
        <f>"341602199510096897"</f>
        <v>341602199510096897</v>
      </c>
      <c r="E146" s="14" t="str">
        <f>"医学检验技术"</f>
        <v>医学检验技术</v>
      </c>
      <c r="F146" s="9" t="str">
        <f>"2018010409"</f>
        <v>2018010409</v>
      </c>
      <c r="G146" s="9">
        <v>0</v>
      </c>
      <c r="H146" s="9">
        <v>0</v>
      </c>
      <c r="I146" s="9">
        <f t="shared" si="8"/>
        <v>0</v>
      </c>
      <c r="J146" s="10" t="s">
        <v>4</v>
      </c>
      <c r="K146" s="3">
        <v>4</v>
      </c>
      <c r="L146" s="3">
        <v>9</v>
      </c>
    </row>
    <row r="147" spans="1:12" ht="18.75" customHeight="1">
      <c r="A147" s="3" t="str">
        <f>"10522018022611372781764"</f>
        <v>10522018022611372781764</v>
      </c>
      <c r="B147" s="8" t="s">
        <v>12</v>
      </c>
      <c r="C147" s="9" t="str">
        <f>"男"</f>
        <v>男</v>
      </c>
      <c r="D147" s="9" t="str">
        <f>"341622199107184112"</f>
        <v>341622199107184112</v>
      </c>
      <c r="E147" s="14" t="str">
        <f>"医学检验"</f>
        <v>医学检验</v>
      </c>
      <c r="F147" s="9" t="str">
        <f>"2018010411"</f>
        <v>2018010411</v>
      </c>
      <c r="G147" s="9">
        <v>0</v>
      </c>
      <c r="H147" s="9">
        <v>0</v>
      </c>
      <c r="I147" s="9">
        <f t="shared" si="8"/>
        <v>0</v>
      </c>
      <c r="J147" s="10" t="s">
        <v>4</v>
      </c>
      <c r="K147" s="3">
        <v>4</v>
      </c>
      <c r="L147" s="3">
        <v>11</v>
      </c>
    </row>
    <row r="148" spans="1:12" ht="18.75" customHeight="1">
      <c r="A148" s="3" t="str">
        <f>"10522018022612353481796"</f>
        <v>10522018022612353481796</v>
      </c>
      <c r="B148" s="8" t="s">
        <v>12</v>
      </c>
      <c r="C148" s="9" t="str">
        <f>"男"</f>
        <v>男</v>
      </c>
      <c r="D148" s="9" t="str">
        <f>"341223199401061732"</f>
        <v>341223199401061732</v>
      </c>
      <c r="E148" s="14" t="str">
        <f>"医学检验技术"</f>
        <v>医学检验技术</v>
      </c>
      <c r="F148" s="9" t="str">
        <f>"2018010412"</f>
        <v>2018010412</v>
      </c>
      <c r="G148" s="9">
        <v>0</v>
      </c>
      <c r="H148" s="9">
        <v>0</v>
      </c>
      <c r="I148" s="9">
        <f t="shared" si="8"/>
        <v>0</v>
      </c>
      <c r="J148" s="10" t="s">
        <v>4</v>
      </c>
      <c r="K148" s="3">
        <v>4</v>
      </c>
      <c r="L148" s="3">
        <v>12</v>
      </c>
    </row>
    <row r="149" spans="1:12" ht="18.75" customHeight="1">
      <c r="A149" s="3" t="str">
        <f>"10522018030112232482864"</f>
        <v>10522018030112232482864</v>
      </c>
      <c r="B149" s="8" t="s">
        <v>12</v>
      </c>
      <c r="C149" s="9" t="str">
        <f>"男"</f>
        <v>男</v>
      </c>
      <c r="D149" s="9" t="str">
        <f>"341227199407220031"</f>
        <v>341227199407220031</v>
      </c>
      <c r="E149" s="14" t="str">
        <f>"医学检验"</f>
        <v>医学检验</v>
      </c>
      <c r="F149" s="9" t="str">
        <f>"2018010418"</f>
        <v>2018010418</v>
      </c>
      <c r="G149" s="9">
        <v>0</v>
      </c>
      <c r="H149" s="9">
        <v>0</v>
      </c>
      <c r="I149" s="9">
        <f t="shared" si="8"/>
        <v>0</v>
      </c>
      <c r="J149" s="10" t="s">
        <v>4</v>
      </c>
      <c r="K149" s="3">
        <v>4</v>
      </c>
      <c r="L149" s="3">
        <v>18</v>
      </c>
    </row>
    <row r="150" spans="1:12" ht="18.75" customHeight="1">
      <c r="A150" s="3" t="str">
        <f>"10522018030212075183121"</f>
        <v>10522018030212075183121</v>
      </c>
      <c r="B150" s="8" t="s">
        <v>12</v>
      </c>
      <c r="C150" s="9" t="str">
        <f>"女"</f>
        <v>女</v>
      </c>
      <c r="D150" s="9" t="str">
        <f>"341227199110141084"</f>
        <v>341227199110141084</v>
      </c>
      <c r="E150" s="14" t="str">
        <f>"医学检验"</f>
        <v>医学检验</v>
      </c>
      <c r="F150" s="9" t="str">
        <f>"2018010426"</f>
        <v>2018010426</v>
      </c>
      <c r="G150" s="9">
        <v>0</v>
      </c>
      <c r="H150" s="9">
        <v>0</v>
      </c>
      <c r="I150" s="9">
        <f t="shared" si="8"/>
        <v>0</v>
      </c>
      <c r="J150" s="10" t="s">
        <v>4</v>
      </c>
      <c r="K150" s="3">
        <v>4</v>
      </c>
      <c r="L150" s="3">
        <v>26</v>
      </c>
    </row>
    <row r="151" spans="1:12" ht="18.75" customHeight="1">
      <c r="A151" s="3" t="str">
        <f>"10522018022808354382466"</f>
        <v>10522018022808354382466</v>
      </c>
      <c r="B151" s="8" t="s">
        <v>13</v>
      </c>
      <c r="C151" s="9" t="str">
        <f>"女"</f>
        <v>女</v>
      </c>
      <c r="D151" s="9" t="str">
        <f>"341621199411122526"</f>
        <v>341621199411122526</v>
      </c>
      <c r="E151" s="14" t="str">
        <f t="shared" ref="E151:E159" si="10">"医学影像学"</f>
        <v>医学影像学</v>
      </c>
      <c r="F151" s="9" t="str">
        <f>"2018013807"</f>
        <v>2018013807</v>
      </c>
      <c r="G151" s="9">
        <v>49.5</v>
      </c>
      <c r="H151" s="9">
        <v>79</v>
      </c>
      <c r="I151" s="9">
        <f t="shared" si="8"/>
        <v>70.149999999999991</v>
      </c>
      <c r="J151" s="9"/>
      <c r="K151" s="3">
        <v>38</v>
      </c>
      <c r="L151" s="3">
        <v>7</v>
      </c>
    </row>
    <row r="152" spans="1:12" ht="18.75" customHeight="1">
      <c r="A152" s="3" t="str">
        <f>"10522018022622081682105"</f>
        <v>10522018022622081682105</v>
      </c>
      <c r="B152" s="8" t="s">
        <v>13</v>
      </c>
      <c r="C152" s="9" t="str">
        <f>"女"</f>
        <v>女</v>
      </c>
      <c r="D152" s="9" t="str">
        <f>"341223199406204341"</f>
        <v>341223199406204341</v>
      </c>
      <c r="E152" s="14" t="str">
        <f t="shared" si="10"/>
        <v>医学影像学</v>
      </c>
      <c r="F152" s="9" t="str">
        <f>"2018013802"</f>
        <v>2018013802</v>
      </c>
      <c r="G152" s="9">
        <v>53.5</v>
      </c>
      <c r="H152" s="9">
        <v>77</v>
      </c>
      <c r="I152" s="9">
        <f t="shared" si="8"/>
        <v>69.95</v>
      </c>
      <c r="J152" s="9"/>
      <c r="K152" s="3">
        <v>38</v>
      </c>
      <c r="L152" s="3">
        <v>2</v>
      </c>
    </row>
    <row r="153" spans="1:12" ht="18.75" customHeight="1">
      <c r="A153" s="3" t="str">
        <f>"10522018022612402681803"</f>
        <v>10522018022612402681803</v>
      </c>
      <c r="B153" s="8" t="s">
        <v>13</v>
      </c>
      <c r="C153" s="9" t="str">
        <f>"女"</f>
        <v>女</v>
      </c>
      <c r="D153" s="9" t="str">
        <f>"341621199605065347"</f>
        <v>341621199605065347</v>
      </c>
      <c r="E153" s="14" t="str">
        <f t="shared" si="10"/>
        <v>医学影像学</v>
      </c>
      <c r="F153" s="9" t="str">
        <f>"2018013801"</f>
        <v>2018013801</v>
      </c>
      <c r="G153" s="9">
        <v>62</v>
      </c>
      <c r="H153" s="9">
        <v>73</v>
      </c>
      <c r="I153" s="9">
        <f t="shared" si="8"/>
        <v>69.699999999999989</v>
      </c>
      <c r="J153" s="9"/>
      <c r="K153" s="3">
        <v>38</v>
      </c>
      <c r="L153" s="3">
        <v>1</v>
      </c>
    </row>
    <row r="154" spans="1:12" ht="18.75" customHeight="1">
      <c r="A154" s="3" t="str">
        <f>"10522018022810445782522"</f>
        <v>10522018022810445782522</v>
      </c>
      <c r="B154" s="8" t="s">
        <v>13</v>
      </c>
      <c r="C154" s="9" t="str">
        <f>"男"</f>
        <v>男</v>
      </c>
      <c r="D154" s="9" t="str">
        <f>"341281199410217798"</f>
        <v>341281199410217798</v>
      </c>
      <c r="E154" s="14" t="str">
        <f t="shared" si="10"/>
        <v>医学影像学</v>
      </c>
      <c r="F154" s="9" t="str">
        <f>"2018013803"</f>
        <v>2018013803</v>
      </c>
      <c r="G154" s="9">
        <v>45</v>
      </c>
      <c r="H154" s="9">
        <v>80</v>
      </c>
      <c r="I154" s="9">
        <f t="shared" si="8"/>
        <v>69.5</v>
      </c>
      <c r="J154" s="9"/>
      <c r="K154" s="3">
        <v>38</v>
      </c>
      <c r="L154" s="3">
        <v>3</v>
      </c>
    </row>
    <row r="155" spans="1:12" ht="18.75" customHeight="1">
      <c r="A155" s="3" t="str">
        <f>"10522018022713455282242"</f>
        <v>10522018022713455282242</v>
      </c>
      <c r="B155" s="8" t="s">
        <v>13</v>
      </c>
      <c r="C155" s="9" t="str">
        <f>"女"</f>
        <v>女</v>
      </c>
      <c r="D155" s="9" t="str">
        <f>"341621199401045141"</f>
        <v>341621199401045141</v>
      </c>
      <c r="E155" s="14" t="str">
        <f t="shared" si="10"/>
        <v>医学影像学</v>
      </c>
      <c r="F155" s="9" t="str">
        <f>"2018013804"</f>
        <v>2018013804</v>
      </c>
      <c r="G155" s="9">
        <v>47</v>
      </c>
      <c r="H155" s="9">
        <v>75</v>
      </c>
      <c r="I155" s="9">
        <f t="shared" si="8"/>
        <v>66.599999999999994</v>
      </c>
      <c r="J155" s="9"/>
      <c r="K155" s="3">
        <v>38</v>
      </c>
      <c r="L155" s="3">
        <v>4</v>
      </c>
    </row>
    <row r="156" spans="1:12" ht="18.75" customHeight="1">
      <c r="A156" s="3" t="str">
        <f>"10522018022720350782399"</f>
        <v>10522018022720350782399</v>
      </c>
      <c r="B156" s="8" t="s">
        <v>13</v>
      </c>
      <c r="C156" s="9" t="str">
        <f>"男"</f>
        <v>男</v>
      </c>
      <c r="D156" s="9" t="str">
        <f>"342427199512010038"</f>
        <v>342427199512010038</v>
      </c>
      <c r="E156" s="14" t="str">
        <f t="shared" si="10"/>
        <v>医学影像学</v>
      </c>
      <c r="F156" s="9" t="str">
        <f>"2018013805"</f>
        <v>2018013805</v>
      </c>
      <c r="G156" s="9">
        <v>0</v>
      </c>
      <c r="H156" s="9">
        <v>0</v>
      </c>
      <c r="I156" s="9">
        <f t="shared" si="8"/>
        <v>0</v>
      </c>
      <c r="J156" s="10" t="s">
        <v>4</v>
      </c>
      <c r="K156" s="3">
        <v>38</v>
      </c>
      <c r="L156" s="3">
        <v>5</v>
      </c>
    </row>
    <row r="157" spans="1:12" ht="18.75" customHeight="1">
      <c r="A157" s="3" t="str">
        <f>"10522018022709215182142"</f>
        <v>10522018022709215182142</v>
      </c>
      <c r="B157" s="8" t="s">
        <v>13</v>
      </c>
      <c r="C157" s="9" t="str">
        <f>"女"</f>
        <v>女</v>
      </c>
      <c r="D157" s="9" t="str">
        <f>"341223199008015342"</f>
        <v>341223199008015342</v>
      </c>
      <c r="E157" s="14" t="str">
        <f t="shared" si="10"/>
        <v>医学影像学</v>
      </c>
      <c r="F157" s="9" t="str">
        <f>"2018013806"</f>
        <v>2018013806</v>
      </c>
      <c r="G157" s="9">
        <v>0</v>
      </c>
      <c r="H157" s="9">
        <v>0</v>
      </c>
      <c r="I157" s="9">
        <f t="shared" si="8"/>
        <v>0</v>
      </c>
      <c r="J157" s="10" t="s">
        <v>4</v>
      </c>
      <c r="K157" s="3">
        <v>38</v>
      </c>
      <c r="L157" s="3">
        <v>6</v>
      </c>
    </row>
    <row r="158" spans="1:12" ht="18.75" customHeight="1">
      <c r="A158" s="3" t="str">
        <f>"10522018030113521182901"</f>
        <v>10522018030113521182901</v>
      </c>
      <c r="B158" s="8" t="s">
        <v>13</v>
      </c>
      <c r="C158" s="9" t="str">
        <f>"男"</f>
        <v>男</v>
      </c>
      <c r="D158" s="9" t="str">
        <f>"34122319950904001X"</f>
        <v>34122319950904001X</v>
      </c>
      <c r="E158" s="14" t="str">
        <f t="shared" si="10"/>
        <v>医学影像学</v>
      </c>
      <c r="F158" s="9" t="str">
        <f>"2018013808"</f>
        <v>2018013808</v>
      </c>
      <c r="G158" s="9">
        <v>0</v>
      </c>
      <c r="H158" s="9">
        <v>0</v>
      </c>
      <c r="I158" s="9">
        <f t="shared" si="8"/>
        <v>0</v>
      </c>
      <c r="J158" s="10" t="s">
        <v>4</v>
      </c>
      <c r="K158" s="3">
        <v>38</v>
      </c>
      <c r="L158" s="3">
        <v>8</v>
      </c>
    </row>
    <row r="159" spans="1:12" ht="18.75" customHeight="1">
      <c r="A159" s="3" t="str">
        <f>"10522018022610371181690"</f>
        <v>10522018022610371181690</v>
      </c>
      <c r="B159" s="8" t="s">
        <v>13</v>
      </c>
      <c r="C159" s="9" t="str">
        <f>"女"</f>
        <v>女</v>
      </c>
      <c r="D159" s="9" t="str">
        <f>"341281199403066602"</f>
        <v>341281199403066602</v>
      </c>
      <c r="E159" s="14" t="str">
        <f t="shared" si="10"/>
        <v>医学影像学</v>
      </c>
      <c r="F159" s="9" t="str">
        <f>"2018013809"</f>
        <v>2018013809</v>
      </c>
      <c r="G159" s="9">
        <v>0</v>
      </c>
      <c r="H159" s="9">
        <v>0</v>
      </c>
      <c r="I159" s="9">
        <f t="shared" si="8"/>
        <v>0</v>
      </c>
      <c r="J159" s="10" t="s">
        <v>4</v>
      </c>
      <c r="K159" s="3">
        <v>38</v>
      </c>
      <c r="L159" s="3">
        <v>9</v>
      </c>
    </row>
    <row r="160" spans="1:12" ht="18.75" customHeight="1">
      <c r="A160" s="3" t="str">
        <f>"10522018022712075482211"</f>
        <v>10522018022712075482211</v>
      </c>
      <c r="B160" s="8" t="s">
        <v>14</v>
      </c>
      <c r="C160" s="9" t="str">
        <f>"男"</f>
        <v>男</v>
      </c>
      <c r="D160" s="9" t="str">
        <f>"372901199410210214"</f>
        <v>372901199410210214</v>
      </c>
      <c r="E160" s="14" t="str">
        <f>"医学影像技术"</f>
        <v>医学影像技术</v>
      </c>
      <c r="F160" s="9" t="str">
        <f>"2018013811"</f>
        <v>2018013811</v>
      </c>
      <c r="G160" s="9">
        <v>73</v>
      </c>
      <c r="H160" s="9">
        <v>73</v>
      </c>
      <c r="I160" s="9">
        <f t="shared" si="8"/>
        <v>73</v>
      </c>
      <c r="J160" s="9"/>
      <c r="K160" s="3">
        <v>38</v>
      </c>
      <c r="L160" s="3">
        <v>11</v>
      </c>
    </row>
    <row r="161" spans="1:12" ht="18.75" customHeight="1">
      <c r="A161" s="3" t="str">
        <f>"10522018022720324282397"</f>
        <v>10522018022720324282397</v>
      </c>
      <c r="B161" s="8" t="s">
        <v>14</v>
      </c>
      <c r="C161" s="9" t="str">
        <f>"男"</f>
        <v>男</v>
      </c>
      <c r="D161" s="9" t="str">
        <f>"341227199604186434"</f>
        <v>341227199604186434</v>
      </c>
      <c r="E161" s="14" t="str">
        <f>"医学影像技术"</f>
        <v>医学影像技术</v>
      </c>
      <c r="F161" s="9" t="str">
        <f>"2018013813"</f>
        <v>2018013813</v>
      </c>
      <c r="G161" s="9">
        <v>78.5</v>
      </c>
      <c r="H161" s="9">
        <v>54</v>
      </c>
      <c r="I161" s="9">
        <f t="shared" si="8"/>
        <v>61.349999999999994</v>
      </c>
      <c r="J161" s="9"/>
      <c r="K161" s="3">
        <v>38</v>
      </c>
      <c r="L161" s="3">
        <v>13</v>
      </c>
    </row>
    <row r="162" spans="1:12" ht="18.75" customHeight="1">
      <c r="A162" s="3" t="str">
        <f>"10522018022715235982281"</f>
        <v>10522018022715235982281</v>
      </c>
      <c r="B162" s="8" t="s">
        <v>14</v>
      </c>
      <c r="C162" s="9" t="str">
        <f>"男"</f>
        <v>男</v>
      </c>
      <c r="D162" s="9" t="str">
        <f>"34162119950818271X"</f>
        <v>34162119950818271X</v>
      </c>
      <c r="E162" s="14" t="str">
        <f>"医学影像技术"</f>
        <v>医学影像技术</v>
      </c>
      <c r="F162" s="9" t="str">
        <f>"2018013812"</f>
        <v>2018013812</v>
      </c>
      <c r="G162" s="9">
        <v>50</v>
      </c>
      <c r="H162" s="9">
        <v>59</v>
      </c>
      <c r="I162" s="9">
        <f t="shared" si="8"/>
        <v>56.3</v>
      </c>
      <c r="J162" s="9"/>
      <c r="K162" s="3">
        <v>38</v>
      </c>
      <c r="L162" s="3">
        <v>12</v>
      </c>
    </row>
    <row r="163" spans="1:12" ht="18.75" customHeight="1">
      <c r="A163" s="3" t="str">
        <f>"10522018022617551481999"</f>
        <v>10522018022617551481999</v>
      </c>
      <c r="B163" s="8" t="s">
        <v>14</v>
      </c>
      <c r="C163" s="9" t="str">
        <f>"女"</f>
        <v>女</v>
      </c>
      <c r="D163" s="9" t="str">
        <f>"341621199507084528"</f>
        <v>341621199507084528</v>
      </c>
      <c r="E163" s="14" t="str">
        <f>"医学影像技术"</f>
        <v>医学影像技术</v>
      </c>
      <c r="F163" s="9" t="str">
        <f>"2018013814"</f>
        <v>2018013814</v>
      </c>
      <c r="G163" s="9">
        <v>37</v>
      </c>
      <c r="H163" s="9">
        <v>63</v>
      </c>
      <c r="I163" s="9">
        <f t="shared" si="8"/>
        <v>55.199999999999996</v>
      </c>
      <c r="J163" s="9"/>
      <c r="K163" s="3">
        <v>38</v>
      </c>
      <c r="L163" s="3">
        <v>14</v>
      </c>
    </row>
    <row r="164" spans="1:12" ht="18.75" customHeight="1">
      <c r="A164" s="3" t="str">
        <f>"10522018022610554481723"</f>
        <v>10522018022610554481723</v>
      </c>
      <c r="B164" s="8" t="s">
        <v>14</v>
      </c>
      <c r="C164" s="9" t="str">
        <f>"女"</f>
        <v>女</v>
      </c>
      <c r="D164" s="9" t="str">
        <f>"341225199505294621"</f>
        <v>341225199505294621</v>
      </c>
      <c r="E164" s="14" t="str">
        <f>"医学影像技术"</f>
        <v>医学影像技术</v>
      </c>
      <c r="F164" s="9" t="str">
        <f>"2018013810"</f>
        <v>2018013810</v>
      </c>
      <c r="G164" s="9">
        <v>0</v>
      </c>
      <c r="H164" s="9">
        <v>0</v>
      </c>
      <c r="I164" s="9">
        <f t="shared" si="8"/>
        <v>0</v>
      </c>
      <c r="J164" s="10" t="s">
        <v>4</v>
      </c>
      <c r="K164" s="3">
        <v>38</v>
      </c>
      <c r="L164" s="3">
        <v>10</v>
      </c>
    </row>
    <row r="165" spans="1:12" ht="18.75" customHeight="1">
      <c r="A165" s="3" t="str">
        <f>"10522018022819461682717"</f>
        <v>10522018022819461682717</v>
      </c>
      <c r="B165" s="8" t="s">
        <v>15</v>
      </c>
      <c r="C165" s="9" t="str">
        <f>"女"</f>
        <v>女</v>
      </c>
      <c r="D165" s="9" t="str">
        <f>"341224199110120460"</f>
        <v>341224199110120460</v>
      </c>
      <c r="E165" s="14" t="str">
        <f t="shared" ref="E165:E180" si="11">"药学"</f>
        <v>药学</v>
      </c>
      <c r="F165" s="9" t="str">
        <f>"2018013718"</f>
        <v>2018013718</v>
      </c>
      <c r="G165" s="9">
        <v>60.5</v>
      </c>
      <c r="H165" s="9">
        <v>89</v>
      </c>
      <c r="I165" s="9">
        <f t="shared" si="8"/>
        <v>80.449999999999989</v>
      </c>
      <c r="J165" s="9"/>
      <c r="K165" s="3">
        <v>37</v>
      </c>
      <c r="L165" s="3">
        <v>18</v>
      </c>
    </row>
    <row r="166" spans="1:12" ht="18.75" customHeight="1">
      <c r="A166" s="3" t="str">
        <f>"10522018022711434082199"</f>
        <v>10522018022711434082199</v>
      </c>
      <c r="B166" s="8" t="s">
        <v>15</v>
      </c>
      <c r="C166" s="9" t="str">
        <f>"男"</f>
        <v>男</v>
      </c>
      <c r="D166" s="9" t="str">
        <f>"341226199204123550"</f>
        <v>341226199204123550</v>
      </c>
      <c r="E166" s="14" t="str">
        <f t="shared" si="11"/>
        <v>药学</v>
      </c>
      <c r="F166" s="9" t="str">
        <f>"2018013729"</f>
        <v>2018013729</v>
      </c>
      <c r="G166" s="9">
        <v>73.5</v>
      </c>
      <c r="H166" s="9">
        <v>83</v>
      </c>
      <c r="I166" s="9">
        <f t="shared" si="8"/>
        <v>80.149999999999991</v>
      </c>
      <c r="J166" s="9"/>
      <c r="K166" s="3">
        <v>37</v>
      </c>
      <c r="L166" s="3">
        <v>29</v>
      </c>
    </row>
    <row r="167" spans="1:12" ht="18.75" customHeight="1">
      <c r="A167" s="3" t="str">
        <f>"10522018022609113681587"</f>
        <v>10522018022609113681587</v>
      </c>
      <c r="B167" s="8" t="s">
        <v>15</v>
      </c>
      <c r="C167" s="9" t="str">
        <f>"男"</f>
        <v>男</v>
      </c>
      <c r="D167" s="9" t="str">
        <f>"341621199010195118"</f>
        <v>341621199010195118</v>
      </c>
      <c r="E167" s="14" t="str">
        <f t="shared" si="11"/>
        <v>药学</v>
      </c>
      <c r="F167" s="9" t="str">
        <f>"2018013716"</f>
        <v>2018013716</v>
      </c>
      <c r="G167" s="9">
        <v>68</v>
      </c>
      <c r="H167" s="9">
        <v>81</v>
      </c>
      <c r="I167" s="9">
        <f t="shared" si="8"/>
        <v>77.099999999999994</v>
      </c>
      <c r="J167" s="9"/>
      <c r="K167" s="3">
        <v>37</v>
      </c>
      <c r="L167" s="3">
        <v>16</v>
      </c>
    </row>
    <row r="168" spans="1:12" ht="18.75" customHeight="1">
      <c r="A168" s="3" t="str">
        <f>"10522018022610380481691"</f>
        <v>10522018022610380481691</v>
      </c>
      <c r="B168" s="8" t="s">
        <v>15</v>
      </c>
      <c r="C168" s="9" t="str">
        <f>"女"</f>
        <v>女</v>
      </c>
      <c r="D168" s="9" t="str">
        <f>"341621199311283920"</f>
        <v>341621199311283920</v>
      </c>
      <c r="E168" s="14" t="str">
        <f t="shared" si="11"/>
        <v>药学</v>
      </c>
      <c r="F168" s="9" t="str">
        <f>"2018013719"</f>
        <v>2018013719</v>
      </c>
      <c r="G168" s="9">
        <v>47</v>
      </c>
      <c r="H168" s="9">
        <v>87</v>
      </c>
      <c r="I168" s="9">
        <f t="shared" si="8"/>
        <v>75</v>
      </c>
      <c r="J168" s="9"/>
      <c r="K168" s="3">
        <v>37</v>
      </c>
      <c r="L168" s="3">
        <v>19</v>
      </c>
    </row>
    <row r="169" spans="1:12" ht="18.75" customHeight="1">
      <c r="A169" s="3" t="str">
        <f>"10522018022721092382414"</f>
        <v>10522018022721092382414</v>
      </c>
      <c r="B169" s="8" t="s">
        <v>15</v>
      </c>
      <c r="C169" s="9" t="str">
        <f>"女"</f>
        <v>女</v>
      </c>
      <c r="D169" s="9" t="str">
        <f>"341223199701101126"</f>
        <v>341223199701101126</v>
      </c>
      <c r="E169" s="14" t="str">
        <f t="shared" si="11"/>
        <v>药学</v>
      </c>
      <c r="F169" s="9" t="str">
        <f>"2018013727"</f>
        <v>2018013727</v>
      </c>
      <c r="G169" s="9">
        <v>47</v>
      </c>
      <c r="H169" s="9">
        <v>80</v>
      </c>
      <c r="I169" s="9">
        <f t="shared" si="8"/>
        <v>70.099999999999994</v>
      </c>
      <c r="J169" s="9"/>
      <c r="K169" s="3">
        <v>37</v>
      </c>
      <c r="L169" s="3">
        <v>27</v>
      </c>
    </row>
    <row r="170" spans="1:12" ht="18.75" customHeight="1">
      <c r="A170" s="3" t="str">
        <f>"10522018022620243582054"</f>
        <v>10522018022620243582054</v>
      </c>
      <c r="B170" s="8" t="s">
        <v>15</v>
      </c>
      <c r="C170" s="9" t="str">
        <f>"女"</f>
        <v>女</v>
      </c>
      <c r="D170" s="9" t="str">
        <f>"340823199311162523"</f>
        <v>340823199311162523</v>
      </c>
      <c r="E170" s="14" t="str">
        <f t="shared" si="11"/>
        <v>药学</v>
      </c>
      <c r="F170" s="9" t="str">
        <f>"2018013730"</f>
        <v>2018013730</v>
      </c>
      <c r="G170" s="9">
        <v>47</v>
      </c>
      <c r="H170" s="9">
        <v>78</v>
      </c>
      <c r="I170" s="9">
        <f t="shared" si="8"/>
        <v>68.699999999999989</v>
      </c>
      <c r="J170" s="9"/>
      <c r="K170" s="3">
        <v>37</v>
      </c>
      <c r="L170" s="3">
        <v>30</v>
      </c>
    </row>
    <row r="171" spans="1:12" ht="18.75" customHeight="1">
      <c r="A171" s="3" t="str">
        <f>"10522018022618151482009"</f>
        <v>10522018022618151482009</v>
      </c>
      <c r="B171" s="8" t="s">
        <v>15</v>
      </c>
      <c r="C171" s="9" t="str">
        <f>"女"</f>
        <v>女</v>
      </c>
      <c r="D171" s="9" t="str">
        <f>"34162119920406452X"</f>
        <v>34162119920406452X</v>
      </c>
      <c r="E171" s="14" t="str">
        <f t="shared" si="11"/>
        <v>药学</v>
      </c>
      <c r="F171" s="9" t="str">
        <f>"2018013721"</f>
        <v>2018013721</v>
      </c>
      <c r="G171" s="9">
        <v>44.5</v>
      </c>
      <c r="H171" s="9">
        <v>76</v>
      </c>
      <c r="I171" s="9">
        <f t="shared" si="8"/>
        <v>66.55</v>
      </c>
      <c r="J171" s="9"/>
      <c r="K171" s="3">
        <v>37</v>
      </c>
      <c r="L171" s="3">
        <v>21</v>
      </c>
    </row>
    <row r="172" spans="1:12" ht="18.75" customHeight="1">
      <c r="A172" s="3" t="str">
        <f>"10522018030120225483015"</f>
        <v>10522018030120225483015</v>
      </c>
      <c r="B172" s="8" t="s">
        <v>15</v>
      </c>
      <c r="C172" s="9" t="str">
        <f>"女"</f>
        <v>女</v>
      </c>
      <c r="D172" s="9" t="str">
        <f>"341281198804165762"</f>
        <v>341281198804165762</v>
      </c>
      <c r="E172" s="14" t="str">
        <f t="shared" si="11"/>
        <v>药学</v>
      </c>
      <c r="F172" s="9" t="str">
        <f>"2018013726"</f>
        <v>2018013726</v>
      </c>
      <c r="G172" s="9">
        <v>42.5</v>
      </c>
      <c r="H172" s="9">
        <v>73</v>
      </c>
      <c r="I172" s="9">
        <f t="shared" si="8"/>
        <v>63.849999999999994</v>
      </c>
      <c r="J172" s="9"/>
      <c r="K172" s="3">
        <v>37</v>
      </c>
      <c r="L172" s="3">
        <v>26</v>
      </c>
    </row>
    <row r="173" spans="1:12" ht="18.75" customHeight="1">
      <c r="A173" s="3" t="str">
        <f>"10522018022709543682159"</f>
        <v>10522018022709543682159</v>
      </c>
      <c r="B173" s="8" t="s">
        <v>15</v>
      </c>
      <c r="C173" s="9" t="str">
        <f>"男"</f>
        <v>男</v>
      </c>
      <c r="D173" s="9" t="str">
        <f>"34122719940912043X"</f>
        <v>34122719940912043X</v>
      </c>
      <c r="E173" s="14" t="str">
        <f t="shared" si="11"/>
        <v>药学</v>
      </c>
      <c r="F173" s="9" t="str">
        <f>"2018013725"</f>
        <v>2018013725</v>
      </c>
      <c r="G173" s="9">
        <v>66</v>
      </c>
      <c r="H173" s="9">
        <v>61</v>
      </c>
      <c r="I173" s="9">
        <f t="shared" si="8"/>
        <v>62.5</v>
      </c>
      <c r="J173" s="9"/>
      <c r="K173" s="3">
        <v>37</v>
      </c>
      <c r="L173" s="3">
        <v>25</v>
      </c>
    </row>
    <row r="174" spans="1:12" ht="18.75" customHeight="1">
      <c r="A174" s="3" t="str">
        <f>"10522018022614133781873"</f>
        <v>10522018022614133781873</v>
      </c>
      <c r="B174" s="8" t="s">
        <v>15</v>
      </c>
      <c r="C174" s="9" t="str">
        <f>"男"</f>
        <v>男</v>
      </c>
      <c r="D174" s="9" t="str">
        <f>"341621199106241510"</f>
        <v>341621199106241510</v>
      </c>
      <c r="E174" s="14" t="str">
        <f t="shared" si="11"/>
        <v>药学</v>
      </c>
      <c r="F174" s="9" t="str">
        <f>"2018013722"</f>
        <v>2018013722</v>
      </c>
      <c r="G174" s="9">
        <v>56.5</v>
      </c>
      <c r="H174" s="9">
        <v>60</v>
      </c>
      <c r="I174" s="9">
        <f t="shared" si="8"/>
        <v>58.95</v>
      </c>
      <c r="J174" s="9"/>
      <c r="K174" s="3">
        <v>37</v>
      </c>
      <c r="L174" s="3">
        <v>22</v>
      </c>
    </row>
    <row r="175" spans="1:12" ht="18.75" customHeight="1">
      <c r="A175" s="3" t="str">
        <f>"10522018022616195781949"</f>
        <v>10522018022616195781949</v>
      </c>
      <c r="B175" s="8" t="s">
        <v>15</v>
      </c>
      <c r="C175" s="9" t="str">
        <f>"男"</f>
        <v>男</v>
      </c>
      <c r="D175" s="9" t="str">
        <f>"341223199505190010"</f>
        <v>341223199505190010</v>
      </c>
      <c r="E175" s="14" t="str">
        <f t="shared" si="11"/>
        <v>药学</v>
      </c>
      <c r="F175" s="9" t="str">
        <f>"2018013714"</f>
        <v>2018013714</v>
      </c>
      <c r="G175" s="9">
        <v>58.5</v>
      </c>
      <c r="H175" s="9">
        <v>58</v>
      </c>
      <c r="I175" s="9">
        <f t="shared" si="8"/>
        <v>58.149999999999991</v>
      </c>
      <c r="J175" s="9"/>
      <c r="K175" s="3">
        <v>37</v>
      </c>
      <c r="L175" s="3">
        <v>14</v>
      </c>
    </row>
    <row r="176" spans="1:12" ht="18.75" customHeight="1">
      <c r="A176" s="3" t="str">
        <f>"10522018022609235681606"</f>
        <v>10522018022609235681606</v>
      </c>
      <c r="B176" s="8" t="s">
        <v>15</v>
      </c>
      <c r="C176" s="9" t="str">
        <f>"男"</f>
        <v>男</v>
      </c>
      <c r="D176" s="9" t="str">
        <f>"341621199409091310"</f>
        <v>341621199409091310</v>
      </c>
      <c r="E176" s="14" t="str">
        <f t="shared" si="11"/>
        <v>药学</v>
      </c>
      <c r="F176" s="9" t="str">
        <f>"2018013728"</f>
        <v>2018013728</v>
      </c>
      <c r="G176" s="9">
        <v>60</v>
      </c>
      <c r="H176" s="9">
        <v>57</v>
      </c>
      <c r="I176" s="9">
        <f t="shared" si="8"/>
        <v>57.9</v>
      </c>
      <c r="J176" s="9"/>
      <c r="K176" s="3">
        <v>37</v>
      </c>
      <c r="L176" s="3">
        <v>28</v>
      </c>
    </row>
    <row r="177" spans="1:12" ht="18.75" customHeight="1">
      <c r="A177" s="3" t="str">
        <f>"10522018022811491182551"</f>
        <v>10522018022811491182551</v>
      </c>
      <c r="B177" s="8" t="s">
        <v>15</v>
      </c>
      <c r="C177" s="9" t="str">
        <f>"女"</f>
        <v>女</v>
      </c>
      <c r="D177" s="9" t="str">
        <f>"341223199408012327"</f>
        <v>341223199408012327</v>
      </c>
      <c r="E177" s="14" t="str">
        <f t="shared" si="11"/>
        <v>药学</v>
      </c>
      <c r="F177" s="9" t="str">
        <f>"2018013715"</f>
        <v>2018013715</v>
      </c>
      <c r="G177" s="9">
        <v>64.5</v>
      </c>
      <c r="H177" s="9">
        <v>52</v>
      </c>
      <c r="I177" s="9">
        <f t="shared" si="8"/>
        <v>55.75</v>
      </c>
      <c r="J177" s="9"/>
      <c r="K177" s="3">
        <v>37</v>
      </c>
      <c r="L177" s="3">
        <v>15</v>
      </c>
    </row>
    <row r="178" spans="1:12" ht="18.75" customHeight="1">
      <c r="A178" s="3" t="str">
        <f>"10522018022612431181805"</f>
        <v>10522018022612431181805</v>
      </c>
      <c r="B178" s="8" t="s">
        <v>15</v>
      </c>
      <c r="C178" s="9" t="str">
        <f>"女"</f>
        <v>女</v>
      </c>
      <c r="D178" s="9" t="str">
        <f>"341227199411031065"</f>
        <v>341227199411031065</v>
      </c>
      <c r="E178" s="14" t="str">
        <f t="shared" si="11"/>
        <v>药学</v>
      </c>
      <c r="F178" s="9" t="str">
        <f>"2018013717"</f>
        <v>2018013717</v>
      </c>
      <c r="G178" s="9">
        <v>39.5</v>
      </c>
      <c r="H178" s="9">
        <v>59</v>
      </c>
      <c r="I178" s="9">
        <f t="shared" si="8"/>
        <v>53.15</v>
      </c>
      <c r="J178" s="9"/>
      <c r="K178" s="3">
        <v>37</v>
      </c>
      <c r="L178" s="3">
        <v>17</v>
      </c>
    </row>
    <row r="179" spans="1:12" ht="18.75" customHeight="1">
      <c r="A179" s="3" t="str">
        <f>"10522018030210022483097"</f>
        <v>10522018030210022483097</v>
      </c>
      <c r="B179" s="8" t="s">
        <v>15</v>
      </c>
      <c r="C179" s="9" t="str">
        <f>"男"</f>
        <v>男</v>
      </c>
      <c r="D179" s="9" t="str">
        <f>"34122319921015053X"</f>
        <v>34122319921015053X</v>
      </c>
      <c r="E179" s="14" t="str">
        <f t="shared" si="11"/>
        <v>药学</v>
      </c>
      <c r="F179" s="9" t="str">
        <f>"2018013723"</f>
        <v>2018013723</v>
      </c>
      <c r="G179" s="9">
        <v>49.5</v>
      </c>
      <c r="H179" s="9">
        <v>54</v>
      </c>
      <c r="I179" s="9">
        <f t="shared" si="8"/>
        <v>52.65</v>
      </c>
      <c r="J179" s="9"/>
      <c r="K179" s="3">
        <v>37</v>
      </c>
      <c r="L179" s="3">
        <v>23</v>
      </c>
    </row>
    <row r="180" spans="1:12" ht="18.75" customHeight="1">
      <c r="A180" s="3" t="str">
        <f>"10522018022612510881812"</f>
        <v>10522018022612510881812</v>
      </c>
      <c r="B180" s="8" t="s">
        <v>15</v>
      </c>
      <c r="C180" s="9" t="str">
        <f t="shared" ref="C180:C196" si="12">"女"</f>
        <v>女</v>
      </c>
      <c r="D180" s="9" t="str">
        <f>"341202199110012103"</f>
        <v>341202199110012103</v>
      </c>
      <c r="E180" s="14" t="str">
        <f t="shared" si="11"/>
        <v>药学</v>
      </c>
      <c r="F180" s="9" t="str">
        <f>"2018013713"</f>
        <v>2018013713</v>
      </c>
      <c r="G180" s="9">
        <v>0</v>
      </c>
      <c r="H180" s="9">
        <v>0</v>
      </c>
      <c r="I180" s="9">
        <f t="shared" si="8"/>
        <v>0</v>
      </c>
      <c r="J180" s="10" t="s">
        <v>4</v>
      </c>
      <c r="K180" s="3">
        <v>37</v>
      </c>
      <c r="L180" s="3">
        <v>13</v>
      </c>
    </row>
    <row r="181" spans="1:12" ht="18.75" customHeight="1">
      <c r="A181" s="3" t="str">
        <f>"10522018022718080082323"</f>
        <v>10522018022718080082323</v>
      </c>
      <c r="B181" s="8" t="s">
        <v>15</v>
      </c>
      <c r="C181" s="9" t="str">
        <f t="shared" si="12"/>
        <v>女</v>
      </c>
      <c r="D181" s="9" t="str">
        <f>"341223198903015184"</f>
        <v>341223198903015184</v>
      </c>
      <c r="E181" s="14" t="str">
        <f>"药学专业"</f>
        <v>药学专业</v>
      </c>
      <c r="F181" s="9" t="str">
        <f>"2018013720"</f>
        <v>2018013720</v>
      </c>
      <c r="G181" s="9">
        <v>0</v>
      </c>
      <c r="H181" s="9">
        <v>0</v>
      </c>
      <c r="I181" s="9">
        <f t="shared" si="8"/>
        <v>0</v>
      </c>
      <c r="J181" s="10" t="s">
        <v>4</v>
      </c>
      <c r="K181" s="3">
        <v>37</v>
      </c>
      <c r="L181" s="3">
        <v>20</v>
      </c>
    </row>
    <row r="182" spans="1:12" ht="18.75" customHeight="1">
      <c r="A182" s="3" t="str">
        <f>"10522018022609190481598"</f>
        <v>10522018022609190481598</v>
      </c>
      <c r="B182" s="8" t="s">
        <v>15</v>
      </c>
      <c r="C182" s="9" t="str">
        <f t="shared" si="12"/>
        <v>女</v>
      </c>
      <c r="D182" s="9" t="str">
        <f>"341281199301238987"</f>
        <v>341281199301238987</v>
      </c>
      <c r="E182" s="14" t="str">
        <f>"药学"</f>
        <v>药学</v>
      </c>
      <c r="F182" s="9" t="str">
        <f>"2018013724"</f>
        <v>2018013724</v>
      </c>
      <c r="G182" s="9">
        <v>0</v>
      </c>
      <c r="H182" s="9">
        <v>0</v>
      </c>
      <c r="I182" s="9">
        <f t="shared" si="8"/>
        <v>0</v>
      </c>
      <c r="J182" s="10" t="s">
        <v>4</v>
      </c>
      <c r="K182" s="3">
        <v>37</v>
      </c>
      <c r="L182" s="3">
        <v>24</v>
      </c>
    </row>
    <row r="183" spans="1:12" ht="18.75" customHeight="1">
      <c r="A183" s="3" t="str">
        <f>"10522018030111465982852"</f>
        <v>10522018030111465982852</v>
      </c>
      <c r="B183" s="8" t="s">
        <v>16</v>
      </c>
      <c r="C183" s="9" t="str">
        <f t="shared" si="12"/>
        <v>女</v>
      </c>
      <c r="D183" s="9" t="str">
        <f>"341223199010121742"</f>
        <v>341223199010121742</v>
      </c>
      <c r="E183" s="14" t="str">
        <f>"中药学"</f>
        <v>中药学</v>
      </c>
      <c r="F183" s="9" t="str">
        <f>"2018013917"</f>
        <v>2018013917</v>
      </c>
      <c r="G183" s="9">
        <v>43</v>
      </c>
      <c r="H183" s="9">
        <v>82</v>
      </c>
      <c r="I183" s="9">
        <f t="shared" si="8"/>
        <v>70.3</v>
      </c>
      <c r="J183" s="9"/>
      <c r="K183" s="3">
        <v>39</v>
      </c>
      <c r="L183" s="3">
        <v>17</v>
      </c>
    </row>
    <row r="184" spans="1:12" ht="18.75" customHeight="1">
      <c r="A184" s="3" t="str">
        <f>"10522018030109545882815"</f>
        <v>10522018030109545882815</v>
      </c>
      <c r="B184" s="8" t="s">
        <v>16</v>
      </c>
      <c r="C184" s="9" t="str">
        <f t="shared" si="12"/>
        <v>女</v>
      </c>
      <c r="D184" s="9" t="str">
        <f>"341281198909269488"</f>
        <v>341281198909269488</v>
      </c>
      <c r="E184" s="14" t="str">
        <f>"中药学"</f>
        <v>中药学</v>
      </c>
      <c r="F184" s="9" t="str">
        <f>"2018013915"</f>
        <v>2018013915</v>
      </c>
      <c r="G184" s="9">
        <v>0</v>
      </c>
      <c r="H184" s="9">
        <v>0</v>
      </c>
      <c r="I184" s="9">
        <f t="shared" si="8"/>
        <v>0</v>
      </c>
      <c r="J184" s="10" t="s">
        <v>4</v>
      </c>
      <c r="K184" s="3">
        <v>39</v>
      </c>
      <c r="L184" s="3">
        <v>15</v>
      </c>
    </row>
    <row r="185" spans="1:12" ht="18.75" customHeight="1">
      <c r="A185" s="3" t="str">
        <f>"10522018030108224282787"</f>
        <v>10522018030108224282787</v>
      </c>
      <c r="B185" s="8" t="s">
        <v>16</v>
      </c>
      <c r="C185" s="9" t="str">
        <f t="shared" si="12"/>
        <v>女</v>
      </c>
      <c r="D185" s="9" t="str">
        <f>"341227198810248320"</f>
        <v>341227198810248320</v>
      </c>
      <c r="E185" s="14" t="str">
        <f>"中药学"</f>
        <v>中药学</v>
      </c>
      <c r="F185" s="9" t="str">
        <f>"2018013916"</f>
        <v>2018013916</v>
      </c>
      <c r="G185" s="9">
        <v>0</v>
      </c>
      <c r="H185" s="9">
        <v>0</v>
      </c>
      <c r="I185" s="9">
        <f t="shared" si="8"/>
        <v>0</v>
      </c>
      <c r="J185" s="10" t="s">
        <v>4</v>
      </c>
      <c r="K185" s="3">
        <v>39</v>
      </c>
      <c r="L185" s="3">
        <v>16</v>
      </c>
    </row>
    <row r="186" spans="1:12" ht="18.75" customHeight="1">
      <c r="A186" s="3" t="str">
        <f>"10522018022610554481722"</f>
        <v>10522018022610554481722</v>
      </c>
      <c r="B186" s="8" t="s">
        <v>17</v>
      </c>
      <c r="C186" s="9" t="str">
        <f t="shared" si="12"/>
        <v>女</v>
      </c>
      <c r="D186" s="9" t="str">
        <f>"341223199602210247"</f>
        <v>341223199602210247</v>
      </c>
      <c r="E186" s="14" t="str">
        <f t="shared" ref="E186:E204" si="13">"护理学"</f>
        <v>护理学</v>
      </c>
      <c r="F186" s="9" t="str">
        <f>"2018010514"</f>
        <v>2018010514</v>
      </c>
      <c r="G186" s="9">
        <v>75.5</v>
      </c>
      <c r="H186" s="9">
        <v>104</v>
      </c>
      <c r="I186" s="9">
        <f t="shared" si="8"/>
        <v>95.449999999999989</v>
      </c>
      <c r="J186" s="9"/>
      <c r="K186" s="3">
        <v>5</v>
      </c>
      <c r="L186" s="3">
        <v>14</v>
      </c>
    </row>
    <row r="187" spans="1:12" ht="18.75" customHeight="1">
      <c r="A187" s="3" t="str">
        <f>"10522018022709513382156"</f>
        <v>10522018022709513382156</v>
      </c>
      <c r="B187" s="8" t="s">
        <v>17</v>
      </c>
      <c r="C187" s="9" t="str">
        <f t="shared" si="12"/>
        <v>女</v>
      </c>
      <c r="D187" s="9" t="str">
        <f>"34162119920227032X"</f>
        <v>34162119920227032X</v>
      </c>
      <c r="E187" s="14" t="str">
        <f t="shared" si="13"/>
        <v>护理学</v>
      </c>
      <c r="F187" s="9" t="str">
        <f>"2018010511"</f>
        <v>2018010511</v>
      </c>
      <c r="G187" s="9">
        <v>56</v>
      </c>
      <c r="H187" s="9">
        <v>107</v>
      </c>
      <c r="I187" s="9">
        <f t="shared" si="8"/>
        <v>91.699999999999989</v>
      </c>
      <c r="J187" s="9"/>
      <c r="K187" s="3">
        <v>5</v>
      </c>
      <c r="L187" s="3">
        <v>11</v>
      </c>
    </row>
    <row r="188" spans="1:12" ht="18.75" customHeight="1">
      <c r="A188" s="3" t="str">
        <f>"10522018022614151281875"</f>
        <v>10522018022614151281875</v>
      </c>
      <c r="B188" s="8" t="s">
        <v>17</v>
      </c>
      <c r="C188" s="9" t="str">
        <f t="shared" si="12"/>
        <v>女</v>
      </c>
      <c r="D188" s="9" t="str">
        <f>"341621199401122143"</f>
        <v>341621199401122143</v>
      </c>
      <c r="E188" s="14" t="str">
        <f t="shared" si="13"/>
        <v>护理学</v>
      </c>
      <c r="F188" s="9" t="str">
        <f>"2018010505"</f>
        <v>2018010505</v>
      </c>
      <c r="G188" s="9">
        <v>42</v>
      </c>
      <c r="H188" s="9">
        <v>107</v>
      </c>
      <c r="I188" s="9">
        <f t="shared" si="8"/>
        <v>87.499999999999986</v>
      </c>
      <c r="J188" s="9"/>
      <c r="K188" s="3">
        <v>5</v>
      </c>
      <c r="L188" s="3">
        <v>5</v>
      </c>
    </row>
    <row r="189" spans="1:12" ht="18.75" customHeight="1">
      <c r="A189" s="3" t="str">
        <f>"10522018022713594582248"</f>
        <v>10522018022713594582248</v>
      </c>
      <c r="B189" s="8" t="s">
        <v>17</v>
      </c>
      <c r="C189" s="9" t="str">
        <f t="shared" si="12"/>
        <v>女</v>
      </c>
      <c r="D189" s="9" t="str">
        <f>"341281199602170189"</f>
        <v>341281199602170189</v>
      </c>
      <c r="E189" s="14" t="str">
        <f t="shared" si="13"/>
        <v>护理学</v>
      </c>
      <c r="F189" s="9" t="str">
        <f>"2018010501"</f>
        <v>2018010501</v>
      </c>
      <c r="G189" s="9">
        <v>52</v>
      </c>
      <c r="H189" s="9">
        <v>102</v>
      </c>
      <c r="I189" s="9">
        <f t="shared" si="8"/>
        <v>86.999999999999986</v>
      </c>
      <c r="J189" s="9"/>
      <c r="K189" s="3">
        <v>5</v>
      </c>
      <c r="L189" s="3">
        <v>1</v>
      </c>
    </row>
    <row r="190" spans="1:12" ht="18.75" customHeight="1">
      <c r="A190" s="3" t="str">
        <f>"10522018022619514682038"</f>
        <v>10522018022619514682038</v>
      </c>
      <c r="B190" s="8" t="s">
        <v>17</v>
      </c>
      <c r="C190" s="9" t="str">
        <f t="shared" si="12"/>
        <v>女</v>
      </c>
      <c r="D190" s="9" t="str">
        <f>"341223199211041124"</f>
        <v>341223199211041124</v>
      </c>
      <c r="E190" s="14" t="str">
        <f t="shared" si="13"/>
        <v>护理学</v>
      </c>
      <c r="F190" s="9" t="str">
        <f>"2018010508"</f>
        <v>2018010508</v>
      </c>
      <c r="G190" s="9">
        <v>55</v>
      </c>
      <c r="H190" s="9">
        <v>100</v>
      </c>
      <c r="I190" s="9">
        <f t="shared" si="8"/>
        <v>86.5</v>
      </c>
      <c r="J190" s="9"/>
      <c r="K190" s="3">
        <v>5</v>
      </c>
      <c r="L190" s="3">
        <v>8</v>
      </c>
    </row>
    <row r="191" spans="1:12" ht="18.75" customHeight="1">
      <c r="A191" s="3" t="str">
        <f>"10522018022722532082445"</f>
        <v>10522018022722532082445</v>
      </c>
      <c r="B191" s="8" t="s">
        <v>17</v>
      </c>
      <c r="C191" s="9" t="str">
        <f t="shared" si="12"/>
        <v>女</v>
      </c>
      <c r="D191" s="9" t="str">
        <f>"34122419920408822X"</f>
        <v>34122419920408822X</v>
      </c>
      <c r="E191" s="14" t="str">
        <f t="shared" si="13"/>
        <v>护理学</v>
      </c>
      <c r="F191" s="9" t="str">
        <f>"2018010520"</f>
        <v>2018010520</v>
      </c>
      <c r="G191" s="9">
        <v>50</v>
      </c>
      <c r="H191" s="9">
        <v>100</v>
      </c>
      <c r="I191" s="9">
        <f t="shared" si="8"/>
        <v>85</v>
      </c>
      <c r="J191" s="9"/>
      <c r="K191" s="3">
        <v>5</v>
      </c>
      <c r="L191" s="3">
        <v>20</v>
      </c>
    </row>
    <row r="192" spans="1:12" ht="18.75" customHeight="1">
      <c r="A192" s="3" t="str">
        <f>"10522018022712433382221"</f>
        <v>10522018022712433382221</v>
      </c>
      <c r="B192" s="8" t="s">
        <v>17</v>
      </c>
      <c r="C192" s="9" t="str">
        <f t="shared" si="12"/>
        <v>女</v>
      </c>
      <c r="D192" s="9" t="str">
        <f>"341223199412265327"</f>
        <v>341223199412265327</v>
      </c>
      <c r="E192" s="14" t="str">
        <f t="shared" si="13"/>
        <v>护理学</v>
      </c>
      <c r="F192" s="9" t="str">
        <f>"2018010506"</f>
        <v>2018010506</v>
      </c>
      <c r="G192" s="9">
        <v>49.5</v>
      </c>
      <c r="H192" s="9">
        <v>100</v>
      </c>
      <c r="I192" s="9">
        <f t="shared" si="8"/>
        <v>84.85</v>
      </c>
      <c r="J192" s="9"/>
      <c r="K192" s="3">
        <v>5</v>
      </c>
      <c r="L192" s="3">
        <v>6</v>
      </c>
    </row>
    <row r="193" spans="1:12" ht="18.75" customHeight="1">
      <c r="A193" s="3" t="str">
        <f>"10522018022613093681829"</f>
        <v>10522018022613093681829</v>
      </c>
      <c r="B193" s="8" t="s">
        <v>17</v>
      </c>
      <c r="C193" s="9" t="str">
        <f t="shared" si="12"/>
        <v>女</v>
      </c>
      <c r="D193" s="9" t="str">
        <f>"341281198910064703"</f>
        <v>341281198910064703</v>
      </c>
      <c r="E193" s="14" t="str">
        <f t="shared" si="13"/>
        <v>护理学</v>
      </c>
      <c r="F193" s="9" t="str">
        <f>"2018010517"</f>
        <v>2018010517</v>
      </c>
      <c r="G193" s="9">
        <v>41.5</v>
      </c>
      <c r="H193" s="9">
        <v>96</v>
      </c>
      <c r="I193" s="9">
        <f t="shared" si="8"/>
        <v>79.649999999999991</v>
      </c>
      <c r="J193" s="9"/>
      <c r="K193" s="3">
        <v>5</v>
      </c>
      <c r="L193" s="3">
        <v>17</v>
      </c>
    </row>
    <row r="194" spans="1:12" ht="18.75" customHeight="1">
      <c r="A194" s="3" t="str">
        <f>"10522018022621205282086"</f>
        <v>10522018022621205282086</v>
      </c>
      <c r="B194" s="8" t="s">
        <v>17</v>
      </c>
      <c r="C194" s="9" t="str">
        <f t="shared" si="12"/>
        <v>女</v>
      </c>
      <c r="D194" s="9" t="str">
        <f>"34122319940304352X"</f>
        <v>34122319940304352X</v>
      </c>
      <c r="E194" s="14" t="str">
        <f t="shared" si="13"/>
        <v>护理学</v>
      </c>
      <c r="F194" s="9" t="str">
        <f>"2018010504"</f>
        <v>2018010504</v>
      </c>
      <c r="G194" s="9">
        <v>47</v>
      </c>
      <c r="H194" s="9">
        <v>91</v>
      </c>
      <c r="I194" s="9">
        <f t="shared" si="8"/>
        <v>77.8</v>
      </c>
      <c r="J194" s="9"/>
      <c r="K194" s="3">
        <v>5</v>
      </c>
      <c r="L194" s="3">
        <v>4</v>
      </c>
    </row>
    <row r="195" spans="1:12" ht="18.75" customHeight="1">
      <c r="A195" s="3" t="str">
        <f>"10522018022719000482350"</f>
        <v>10522018022719000482350</v>
      </c>
      <c r="B195" s="8" t="s">
        <v>17</v>
      </c>
      <c r="C195" s="9" t="str">
        <f t="shared" si="12"/>
        <v>女</v>
      </c>
      <c r="D195" s="9" t="str">
        <f>"34160219890629860X"</f>
        <v>34160219890629860X</v>
      </c>
      <c r="E195" s="14" t="str">
        <f t="shared" si="13"/>
        <v>护理学</v>
      </c>
      <c r="F195" s="9" t="str">
        <f>"2018010522"</f>
        <v>2018010522</v>
      </c>
      <c r="G195" s="9">
        <v>53</v>
      </c>
      <c r="H195" s="9">
        <v>87</v>
      </c>
      <c r="I195" s="9">
        <f t="shared" ref="I195:I258" si="14">G195*0.3+H195*0.7</f>
        <v>76.8</v>
      </c>
      <c r="J195" s="9"/>
      <c r="K195" s="3">
        <v>5</v>
      </c>
      <c r="L195" s="3">
        <v>22</v>
      </c>
    </row>
    <row r="196" spans="1:12" ht="18.75" customHeight="1">
      <c r="A196" s="3" t="str">
        <f>"10522018022615550881936"</f>
        <v>10522018022615550881936</v>
      </c>
      <c r="B196" s="8" t="s">
        <v>17</v>
      </c>
      <c r="C196" s="9" t="str">
        <f t="shared" si="12"/>
        <v>女</v>
      </c>
      <c r="D196" s="9" t="str">
        <f>"341621199405214520"</f>
        <v>341621199405214520</v>
      </c>
      <c r="E196" s="14" t="str">
        <f t="shared" si="13"/>
        <v>护理学</v>
      </c>
      <c r="F196" s="9" t="str">
        <f>"2018010509"</f>
        <v>2018010509</v>
      </c>
      <c r="G196" s="9">
        <v>62.5</v>
      </c>
      <c r="H196" s="9">
        <v>81</v>
      </c>
      <c r="I196" s="9">
        <f t="shared" si="14"/>
        <v>75.449999999999989</v>
      </c>
      <c r="J196" s="9"/>
      <c r="K196" s="3">
        <v>5</v>
      </c>
      <c r="L196" s="3">
        <v>9</v>
      </c>
    </row>
    <row r="197" spans="1:12" ht="18.75" customHeight="1">
      <c r="A197" s="3" t="str">
        <f>"10522018022610415281698"</f>
        <v>10522018022610415281698</v>
      </c>
      <c r="B197" s="8" t="s">
        <v>17</v>
      </c>
      <c r="C197" s="9" t="str">
        <f>"男"</f>
        <v>男</v>
      </c>
      <c r="D197" s="9" t="str">
        <f>"341223199604170015"</f>
        <v>341223199604170015</v>
      </c>
      <c r="E197" s="14" t="str">
        <f t="shared" si="13"/>
        <v>护理学</v>
      </c>
      <c r="F197" s="9" t="str">
        <f>"2018010515"</f>
        <v>2018010515</v>
      </c>
      <c r="G197" s="9">
        <v>55.5</v>
      </c>
      <c r="H197" s="9">
        <v>81</v>
      </c>
      <c r="I197" s="9">
        <f t="shared" si="14"/>
        <v>73.349999999999994</v>
      </c>
      <c r="J197" s="9"/>
      <c r="K197" s="3">
        <v>5</v>
      </c>
      <c r="L197" s="3">
        <v>15</v>
      </c>
    </row>
    <row r="198" spans="1:12" ht="18.75" customHeight="1">
      <c r="A198" s="3" t="str">
        <f>"10522018022809443182491"</f>
        <v>10522018022809443182491</v>
      </c>
      <c r="B198" s="8" t="s">
        <v>17</v>
      </c>
      <c r="C198" s="9" t="str">
        <f>"女"</f>
        <v>女</v>
      </c>
      <c r="D198" s="9" t="str">
        <f>"341281199601023523"</f>
        <v>341281199601023523</v>
      </c>
      <c r="E198" s="14" t="str">
        <f t="shared" si="13"/>
        <v>护理学</v>
      </c>
      <c r="F198" s="9" t="str">
        <f>"2018010513"</f>
        <v>2018010513</v>
      </c>
      <c r="G198" s="9">
        <v>60</v>
      </c>
      <c r="H198" s="9">
        <v>78</v>
      </c>
      <c r="I198" s="9">
        <f t="shared" si="14"/>
        <v>72.599999999999994</v>
      </c>
      <c r="J198" s="9"/>
      <c r="K198" s="3">
        <v>5</v>
      </c>
      <c r="L198" s="3">
        <v>13</v>
      </c>
    </row>
    <row r="199" spans="1:12" ht="18.75" customHeight="1">
      <c r="A199" s="3" t="str">
        <f>"10522018022809143782480"</f>
        <v>10522018022809143782480</v>
      </c>
      <c r="B199" s="8" t="s">
        <v>17</v>
      </c>
      <c r="C199" s="9" t="str">
        <f>"男"</f>
        <v>男</v>
      </c>
      <c r="D199" s="9" t="str">
        <f>"341227199102045594"</f>
        <v>341227199102045594</v>
      </c>
      <c r="E199" s="14" t="str">
        <f t="shared" si="13"/>
        <v>护理学</v>
      </c>
      <c r="F199" s="9" t="str">
        <f>"2018010512"</f>
        <v>2018010512</v>
      </c>
      <c r="G199" s="9">
        <v>61</v>
      </c>
      <c r="H199" s="9">
        <v>74</v>
      </c>
      <c r="I199" s="9">
        <f t="shared" si="14"/>
        <v>70.099999999999994</v>
      </c>
      <c r="J199" s="9"/>
      <c r="K199" s="3">
        <v>5</v>
      </c>
      <c r="L199" s="3">
        <v>12</v>
      </c>
    </row>
    <row r="200" spans="1:12" ht="18.75" customHeight="1">
      <c r="A200" s="3" t="str">
        <f>"10522018022815121082630"</f>
        <v>10522018022815121082630</v>
      </c>
      <c r="B200" s="8" t="s">
        <v>17</v>
      </c>
      <c r="C200" s="9" t="str">
        <f>"女"</f>
        <v>女</v>
      </c>
      <c r="D200" s="9" t="str">
        <f>"341223199110013829"</f>
        <v>341223199110013829</v>
      </c>
      <c r="E200" s="14" t="str">
        <f t="shared" si="13"/>
        <v>护理学</v>
      </c>
      <c r="F200" s="9" t="str">
        <f>"2018010507"</f>
        <v>2018010507</v>
      </c>
      <c r="G200" s="9">
        <v>27.5</v>
      </c>
      <c r="H200" s="9">
        <v>40</v>
      </c>
      <c r="I200" s="9">
        <f t="shared" si="14"/>
        <v>36.25</v>
      </c>
      <c r="J200" s="9"/>
      <c r="K200" s="3">
        <v>5</v>
      </c>
      <c r="L200" s="3">
        <v>7</v>
      </c>
    </row>
    <row r="201" spans="1:12" ht="18.75" customHeight="1">
      <c r="A201" s="3" t="str">
        <f>"10522018030118445082995"</f>
        <v>10522018030118445082995</v>
      </c>
      <c r="B201" s="8" t="s">
        <v>17</v>
      </c>
      <c r="C201" s="9" t="str">
        <f>"男"</f>
        <v>男</v>
      </c>
      <c r="D201" s="9" t="str">
        <f>"142201199005014032"</f>
        <v>142201199005014032</v>
      </c>
      <c r="E201" s="14" t="str">
        <f t="shared" si="13"/>
        <v>护理学</v>
      </c>
      <c r="F201" s="9" t="str">
        <f>"2018010521"</f>
        <v>2018010521</v>
      </c>
      <c r="G201" s="9">
        <v>58.5</v>
      </c>
      <c r="H201" s="9">
        <v>8</v>
      </c>
      <c r="I201" s="9">
        <f t="shared" si="14"/>
        <v>23.15</v>
      </c>
      <c r="J201" s="9"/>
      <c r="K201" s="3">
        <v>5</v>
      </c>
      <c r="L201" s="3">
        <v>21</v>
      </c>
    </row>
    <row r="202" spans="1:12" ht="18.75" customHeight="1">
      <c r="A202" s="3" t="str">
        <f>"10522018022822540882768"</f>
        <v>10522018022822540882768</v>
      </c>
      <c r="B202" s="8" t="s">
        <v>17</v>
      </c>
      <c r="C202" s="9" t="str">
        <f t="shared" ref="C202:C265" si="15">"女"</f>
        <v>女</v>
      </c>
      <c r="D202" s="9" t="str">
        <f>"341281199101131560"</f>
        <v>341281199101131560</v>
      </c>
      <c r="E202" s="14" t="str">
        <f t="shared" si="13"/>
        <v>护理学</v>
      </c>
      <c r="F202" s="9" t="str">
        <f>"2018010502"</f>
        <v>2018010502</v>
      </c>
      <c r="G202" s="9">
        <v>0</v>
      </c>
      <c r="H202" s="9">
        <v>0</v>
      </c>
      <c r="I202" s="9">
        <f t="shared" si="14"/>
        <v>0</v>
      </c>
      <c r="J202" s="10" t="s">
        <v>4</v>
      </c>
      <c r="K202" s="3">
        <v>5</v>
      </c>
      <c r="L202" s="3">
        <v>2</v>
      </c>
    </row>
    <row r="203" spans="1:12" ht="18.75" customHeight="1">
      <c r="A203" s="3" t="str">
        <f>"10522018030121054983028"</f>
        <v>10522018030121054983028</v>
      </c>
      <c r="B203" s="8" t="s">
        <v>17</v>
      </c>
      <c r="C203" s="9" t="str">
        <f t="shared" si="15"/>
        <v>女</v>
      </c>
      <c r="D203" s="9" t="str">
        <f>"341223199008150720"</f>
        <v>341223199008150720</v>
      </c>
      <c r="E203" s="14" t="str">
        <f t="shared" si="13"/>
        <v>护理学</v>
      </c>
      <c r="F203" s="9" t="str">
        <f>"2018010503"</f>
        <v>2018010503</v>
      </c>
      <c r="G203" s="9">
        <v>0</v>
      </c>
      <c r="H203" s="9">
        <v>0</v>
      </c>
      <c r="I203" s="9">
        <f t="shared" si="14"/>
        <v>0</v>
      </c>
      <c r="J203" s="10" t="s">
        <v>4</v>
      </c>
      <c r="K203" s="3">
        <v>5</v>
      </c>
      <c r="L203" s="3">
        <v>3</v>
      </c>
    </row>
    <row r="204" spans="1:12" ht="18.75" customHeight="1">
      <c r="A204" s="3" t="str">
        <f>"10522018022817012582658"</f>
        <v>10522018022817012582658</v>
      </c>
      <c r="B204" s="8" t="s">
        <v>17</v>
      </c>
      <c r="C204" s="9" t="str">
        <f t="shared" si="15"/>
        <v>女</v>
      </c>
      <c r="D204" s="9" t="str">
        <f>"341223199503012368"</f>
        <v>341223199503012368</v>
      </c>
      <c r="E204" s="14" t="str">
        <f t="shared" si="13"/>
        <v>护理学</v>
      </c>
      <c r="F204" s="9" t="str">
        <f>"2018010510"</f>
        <v>2018010510</v>
      </c>
      <c r="G204" s="9">
        <v>0</v>
      </c>
      <c r="H204" s="9">
        <v>0</v>
      </c>
      <c r="I204" s="9">
        <f t="shared" si="14"/>
        <v>0</v>
      </c>
      <c r="J204" s="10" t="s">
        <v>4</v>
      </c>
      <c r="K204" s="3">
        <v>5</v>
      </c>
      <c r="L204" s="3">
        <v>10</v>
      </c>
    </row>
    <row r="205" spans="1:12" ht="18.75" customHeight="1">
      <c r="A205" s="3" t="str">
        <f>"10522018030206242083060"</f>
        <v>10522018030206242083060</v>
      </c>
      <c r="B205" s="8" t="s">
        <v>17</v>
      </c>
      <c r="C205" s="9" t="str">
        <f t="shared" si="15"/>
        <v>女</v>
      </c>
      <c r="D205" s="9" t="str">
        <f>"341223198903071741"</f>
        <v>341223198903071741</v>
      </c>
      <c r="E205" s="14" t="str">
        <f>"护理"</f>
        <v>护理</v>
      </c>
      <c r="F205" s="9" t="str">
        <f>"2018010516"</f>
        <v>2018010516</v>
      </c>
      <c r="G205" s="9">
        <v>0</v>
      </c>
      <c r="H205" s="9">
        <v>0</v>
      </c>
      <c r="I205" s="9">
        <f t="shared" si="14"/>
        <v>0</v>
      </c>
      <c r="J205" s="10" t="s">
        <v>4</v>
      </c>
      <c r="K205" s="3">
        <v>5</v>
      </c>
      <c r="L205" s="3">
        <v>16</v>
      </c>
    </row>
    <row r="206" spans="1:12" ht="18.75" customHeight="1">
      <c r="A206" s="3" t="str">
        <f>"10522018022813122782584"</f>
        <v>10522018022813122782584</v>
      </c>
      <c r="B206" s="8" t="s">
        <v>17</v>
      </c>
      <c r="C206" s="9" t="str">
        <f t="shared" si="15"/>
        <v>女</v>
      </c>
      <c r="D206" s="9" t="str">
        <f>"341621199402191722"</f>
        <v>341621199402191722</v>
      </c>
      <c r="E206" s="14" t="str">
        <f>"护理学"</f>
        <v>护理学</v>
      </c>
      <c r="F206" s="9" t="str">
        <f>"2018010518"</f>
        <v>2018010518</v>
      </c>
      <c r="G206" s="9">
        <v>0</v>
      </c>
      <c r="H206" s="9">
        <v>0</v>
      </c>
      <c r="I206" s="9">
        <f t="shared" si="14"/>
        <v>0</v>
      </c>
      <c r="J206" s="10" t="s">
        <v>4</v>
      </c>
      <c r="K206" s="3">
        <v>5</v>
      </c>
      <c r="L206" s="3">
        <v>18</v>
      </c>
    </row>
    <row r="207" spans="1:12" ht="18.75" customHeight="1">
      <c r="A207" s="3" t="str">
        <f>"10522018022622323282109"</f>
        <v>10522018022622323282109</v>
      </c>
      <c r="B207" s="8" t="s">
        <v>17</v>
      </c>
      <c r="C207" s="9" t="str">
        <f t="shared" si="15"/>
        <v>女</v>
      </c>
      <c r="D207" s="9" t="str">
        <f>"341621199310172321"</f>
        <v>341621199310172321</v>
      </c>
      <c r="E207" s="14" t="str">
        <f>"护理学"</f>
        <v>护理学</v>
      </c>
      <c r="F207" s="9" t="str">
        <f>"2018010519"</f>
        <v>2018010519</v>
      </c>
      <c r="G207" s="9">
        <v>0</v>
      </c>
      <c r="H207" s="9">
        <v>0</v>
      </c>
      <c r="I207" s="9">
        <f t="shared" si="14"/>
        <v>0</v>
      </c>
      <c r="J207" s="10" t="s">
        <v>4</v>
      </c>
      <c r="K207" s="3">
        <v>5</v>
      </c>
      <c r="L207" s="3">
        <v>19</v>
      </c>
    </row>
    <row r="208" spans="1:12" ht="18.75" customHeight="1">
      <c r="A208" s="3" t="str">
        <f>"10522018022610411181696"</f>
        <v>10522018022610411181696</v>
      </c>
      <c r="B208" s="8" t="s">
        <v>18</v>
      </c>
      <c r="C208" s="9" t="str">
        <f t="shared" si="15"/>
        <v>女</v>
      </c>
      <c r="D208" s="9" t="str">
        <f>"341223199506195526"</f>
        <v>341223199506195526</v>
      </c>
      <c r="E208" s="14" t="str">
        <f>"护理"</f>
        <v>护理</v>
      </c>
      <c r="F208" s="9" t="str">
        <f>"2018011607"</f>
        <v>2018011607</v>
      </c>
      <c r="G208" s="9">
        <v>62.5</v>
      </c>
      <c r="H208" s="9">
        <v>108</v>
      </c>
      <c r="I208" s="9">
        <f t="shared" si="14"/>
        <v>94.35</v>
      </c>
      <c r="J208" s="9"/>
      <c r="K208" s="3">
        <v>16</v>
      </c>
      <c r="L208" s="3">
        <v>7</v>
      </c>
    </row>
    <row r="209" spans="1:12" ht="18.75" customHeight="1">
      <c r="A209" s="3" t="str">
        <f>"10522018022708305882130"</f>
        <v>10522018022708305882130</v>
      </c>
      <c r="B209" s="8" t="s">
        <v>18</v>
      </c>
      <c r="C209" s="9" t="str">
        <f t="shared" si="15"/>
        <v>女</v>
      </c>
      <c r="D209" s="9" t="str">
        <f>"341621199305163121"</f>
        <v>341621199305163121</v>
      </c>
      <c r="E209" s="14" t="str">
        <f>"护理"</f>
        <v>护理</v>
      </c>
      <c r="F209" s="9" t="str">
        <f>"2018010816"</f>
        <v>2018010816</v>
      </c>
      <c r="G209" s="9">
        <v>65.5</v>
      </c>
      <c r="H209" s="9">
        <v>103</v>
      </c>
      <c r="I209" s="9">
        <f t="shared" si="14"/>
        <v>91.75</v>
      </c>
      <c r="J209" s="9"/>
      <c r="K209" s="3">
        <v>8</v>
      </c>
      <c r="L209" s="3">
        <v>16</v>
      </c>
    </row>
    <row r="210" spans="1:12" ht="18.75" customHeight="1">
      <c r="A210" s="3" t="str">
        <f>"10522018022612212881786"</f>
        <v>10522018022612212881786</v>
      </c>
      <c r="B210" s="8" t="s">
        <v>18</v>
      </c>
      <c r="C210" s="9" t="str">
        <f t="shared" si="15"/>
        <v>女</v>
      </c>
      <c r="D210" s="9" t="str">
        <f>"341623199504127046"</f>
        <v>341623199504127046</v>
      </c>
      <c r="E210" s="14" t="str">
        <f>"护理专业"</f>
        <v>护理专业</v>
      </c>
      <c r="F210" s="9" t="str">
        <f>"2018011113"</f>
        <v>2018011113</v>
      </c>
      <c r="G210" s="9">
        <v>50</v>
      </c>
      <c r="H210" s="9">
        <v>109</v>
      </c>
      <c r="I210" s="9">
        <f t="shared" si="14"/>
        <v>91.3</v>
      </c>
      <c r="J210" s="9"/>
      <c r="K210" s="3">
        <v>11</v>
      </c>
      <c r="L210" s="3">
        <v>13</v>
      </c>
    </row>
    <row r="211" spans="1:12" ht="18.75" customHeight="1">
      <c r="A211" s="3" t="str">
        <f>"10522018022710291182177"</f>
        <v>10522018022710291182177</v>
      </c>
      <c r="B211" s="8" t="s">
        <v>18</v>
      </c>
      <c r="C211" s="9" t="str">
        <f t="shared" si="15"/>
        <v>女</v>
      </c>
      <c r="D211" s="9" t="str">
        <f>"342124199707150326"</f>
        <v>342124199707150326</v>
      </c>
      <c r="E211" s="14" t="str">
        <f t="shared" ref="E211:E250" si="16">"护理"</f>
        <v>护理</v>
      </c>
      <c r="F211" s="9" t="str">
        <f>"2018010728"</f>
        <v>2018010728</v>
      </c>
      <c r="G211" s="9">
        <v>78.5</v>
      </c>
      <c r="H211" s="9">
        <v>96</v>
      </c>
      <c r="I211" s="9">
        <f t="shared" si="14"/>
        <v>90.749999999999986</v>
      </c>
      <c r="J211" s="9"/>
      <c r="K211" s="3">
        <v>7</v>
      </c>
      <c r="L211" s="3">
        <v>28</v>
      </c>
    </row>
    <row r="212" spans="1:12" ht="18.75" customHeight="1">
      <c r="A212" s="3" t="str">
        <f>"10522018022609124881589"</f>
        <v>10522018022609124881589</v>
      </c>
      <c r="B212" s="8" t="s">
        <v>18</v>
      </c>
      <c r="C212" s="9" t="str">
        <f t="shared" si="15"/>
        <v>女</v>
      </c>
      <c r="D212" s="9" t="str">
        <f>"341224199301126822"</f>
        <v>341224199301126822</v>
      </c>
      <c r="E212" s="14" t="str">
        <f t="shared" si="16"/>
        <v>护理</v>
      </c>
      <c r="F212" s="9" t="str">
        <f>"2018010622"</f>
        <v>2018010622</v>
      </c>
      <c r="G212" s="9">
        <v>63</v>
      </c>
      <c r="H212" s="9">
        <v>102</v>
      </c>
      <c r="I212" s="9">
        <f t="shared" si="14"/>
        <v>90.299999999999983</v>
      </c>
      <c r="J212" s="9"/>
      <c r="K212" s="3">
        <v>6</v>
      </c>
      <c r="L212" s="3">
        <v>22</v>
      </c>
    </row>
    <row r="213" spans="1:12" ht="18.75" customHeight="1">
      <c r="A213" s="3" t="str">
        <f>"10522018022720283782395"</f>
        <v>10522018022720283782395</v>
      </c>
      <c r="B213" s="8" t="s">
        <v>18</v>
      </c>
      <c r="C213" s="9" t="str">
        <f t="shared" si="15"/>
        <v>女</v>
      </c>
      <c r="D213" s="9" t="str">
        <f>"341621199509050081"</f>
        <v>341621199509050081</v>
      </c>
      <c r="E213" s="14" t="str">
        <f t="shared" si="16"/>
        <v>护理</v>
      </c>
      <c r="F213" s="9" t="str">
        <f>"2018011007"</f>
        <v>2018011007</v>
      </c>
      <c r="G213" s="9">
        <v>62</v>
      </c>
      <c r="H213" s="9">
        <v>102</v>
      </c>
      <c r="I213" s="9">
        <f t="shared" si="14"/>
        <v>89.999999999999986</v>
      </c>
      <c r="J213" s="9"/>
      <c r="K213" s="3">
        <v>10</v>
      </c>
      <c r="L213" s="3">
        <v>7</v>
      </c>
    </row>
    <row r="214" spans="1:12" ht="18.75" customHeight="1">
      <c r="A214" s="3" t="str">
        <f>"10522018022609583581641"</f>
        <v>10522018022609583581641</v>
      </c>
      <c r="B214" s="8" t="s">
        <v>18</v>
      </c>
      <c r="C214" s="9" t="str">
        <f t="shared" si="15"/>
        <v>女</v>
      </c>
      <c r="D214" s="9" t="str">
        <f>"341623199801210225"</f>
        <v>341623199801210225</v>
      </c>
      <c r="E214" s="14" t="str">
        <f t="shared" si="16"/>
        <v>护理</v>
      </c>
      <c r="F214" s="9" t="str">
        <f>"2018012108"</f>
        <v>2018012108</v>
      </c>
      <c r="G214" s="9">
        <v>50.5</v>
      </c>
      <c r="H214" s="9">
        <v>106</v>
      </c>
      <c r="I214" s="9">
        <f t="shared" si="14"/>
        <v>89.35</v>
      </c>
      <c r="J214" s="9"/>
      <c r="K214" s="3">
        <v>21</v>
      </c>
      <c r="L214" s="3">
        <v>8</v>
      </c>
    </row>
    <row r="215" spans="1:12" ht="18.75" customHeight="1">
      <c r="A215" s="3" t="str">
        <f>"10522018022612383781800"</f>
        <v>10522018022612383781800</v>
      </c>
      <c r="B215" s="8" t="s">
        <v>18</v>
      </c>
      <c r="C215" s="9" t="str">
        <f t="shared" si="15"/>
        <v>女</v>
      </c>
      <c r="D215" s="9" t="str">
        <f>"341623199804100021"</f>
        <v>341623199804100021</v>
      </c>
      <c r="E215" s="14" t="str">
        <f t="shared" si="16"/>
        <v>护理</v>
      </c>
      <c r="F215" s="9" t="str">
        <f>"2018011903"</f>
        <v>2018011903</v>
      </c>
      <c r="G215" s="9">
        <v>55.5</v>
      </c>
      <c r="H215" s="9">
        <v>103</v>
      </c>
      <c r="I215" s="9">
        <f t="shared" si="14"/>
        <v>88.75</v>
      </c>
      <c r="J215" s="9"/>
      <c r="K215" s="3">
        <v>19</v>
      </c>
      <c r="L215" s="3">
        <v>3</v>
      </c>
    </row>
    <row r="216" spans="1:12" ht="18.75" customHeight="1">
      <c r="A216" s="3" t="str">
        <f>"10522018022616132881947"</f>
        <v>10522018022616132881947</v>
      </c>
      <c r="B216" s="8" t="s">
        <v>18</v>
      </c>
      <c r="C216" s="9" t="str">
        <f t="shared" si="15"/>
        <v>女</v>
      </c>
      <c r="D216" s="9" t="str">
        <f>"341227199605059525"</f>
        <v>341227199605059525</v>
      </c>
      <c r="E216" s="14" t="str">
        <f t="shared" si="16"/>
        <v>护理</v>
      </c>
      <c r="F216" s="9" t="str">
        <f>"2018012009"</f>
        <v>2018012009</v>
      </c>
      <c r="G216" s="9">
        <v>55</v>
      </c>
      <c r="H216" s="9">
        <v>103</v>
      </c>
      <c r="I216" s="9">
        <f t="shared" si="14"/>
        <v>88.6</v>
      </c>
      <c r="J216" s="9"/>
      <c r="K216" s="3">
        <v>20</v>
      </c>
      <c r="L216" s="3">
        <v>9</v>
      </c>
    </row>
    <row r="217" spans="1:12" ht="18.75" customHeight="1">
      <c r="A217" s="3" t="str">
        <f>"10522018022612233181788"</f>
        <v>10522018022612233181788</v>
      </c>
      <c r="B217" s="8" t="s">
        <v>18</v>
      </c>
      <c r="C217" s="9" t="str">
        <f t="shared" si="15"/>
        <v>女</v>
      </c>
      <c r="D217" s="9" t="str">
        <f>"341621199701055122"</f>
        <v>341621199701055122</v>
      </c>
      <c r="E217" s="14" t="str">
        <f t="shared" si="16"/>
        <v>护理</v>
      </c>
      <c r="F217" s="9" t="str">
        <f>"2018011717"</f>
        <v>2018011717</v>
      </c>
      <c r="G217" s="9">
        <v>65</v>
      </c>
      <c r="H217" s="9">
        <v>98</v>
      </c>
      <c r="I217" s="9">
        <f t="shared" si="14"/>
        <v>88.1</v>
      </c>
      <c r="J217" s="9"/>
      <c r="K217" s="3">
        <v>17</v>
      </c>
      <c r="L217" s="3">
        <v>17</v>
      </c>
    </row>
    <row r="218" spans="1:12" ht="18.75" customHeight="1">
      <c r="A218" s="3" t="str">
        <f>"10522018022619002582023"</f>
        <v>10522018022619002582023</v>
      </c>
      <c r="B218" s="8" t="s">
        <v>18</v>
      </c>
      <c r="C218" s="9" t="str">
        <f t="shared" si="15"/>
        <v>女</v>
      </c>
      <c r="D218" s="9" t="str">
        <f>"341621199408041725"</f>
        <v>341621199408041725</v>
      </c>
      <c r="E218" s="14" t="str">
        <f t="shared" si="16"/>
        <v>护理</v>
      </c>
      <c r="F218" s="9" t="str">
        <f>"2018011516"</f>
        <v>2018011516</v>
      </c>
      <c r="G218" s="9">
        <v>46.5</v>
      </c>
      <c r="H218" s="9">
        <v>105</v>
      </c>
      <c r="I218" s="9">
        <f t="shared" si="14"/>
        <v>87.45</v>
      </c>
      <c r="J218" s="9"/>
      <c r="K218" s="3">
        <v>15</v>
      </c>
      <c r="L218" s="3">
        <v>16</v>
      </c>
    </row>
    <row r="219" spans="1:12" ht="18.75" customHeight="1">
      <c r="A219" s="3" t="str">
        <f>"10522018022613112081831"</f>
        <v>10522018022613112081831</v>
      </c>
      <c r="B219" s="8" t="s">
        <v>18</v>
      </c>
      <c r="C219" s="9" t="str">
        <f t="shared" si="15"/>
        <v>女</v>
      </c>
      <c r="D219" s="9" t="str">
        <f>"342423199901085687"</f>
        <v>342423199901085687</v>
      </c>
      <c r="E219" s="14" t="str">
        <f t="shared" si="16"/>
        <v>护理</v>
      </c>
      <c r="F219" s="9" t="str">
        <f>"2018011029"</f>
        <v>2018011029</v>
      </c>
      <c r="G219" s="9">
        <v>47</v>
      </c>
      <c r="H219" s="9">
        <v>104</v>
      </c>
      <c r="I219" s="9">
        <f t="shared" si="14"/>
        <v>86.899999999999991</v>
      </c>
      <c r="J219" s="9"/>
      <c r="K219" s="3">
        <v>10</v>
      </c>
      <c r="L219" s="3">
        <v>29</v>
      </c>
    </row>
    <row r="220" spans="1:12" ht="18.75" customHeight="1">
      <c r="A220" s="3" t="str">
        <f>"10522018022811161382539"</f>
        <v>10522018022811161382539</v>
      </c>
      <c r="B220" s="8" t="s">
        <v>18</v>
      </c>
      <c r="C220" s="9" t="str">
        <f t="shared" si="15"/>
        <v>女</v>
      </c>
      <c r="D220" s="9" t="str">
        <f>"341623199811018325"</f>
        <v>341623199811018325</v>
      </c>
      <c r="E220" s="14" t="str">
        <f t="shared" si="16"/>
        <v>护理</v>
      </c>
      <c r="F220" s="9" t="str">
        <f>"2018011622"</f>
        <v>2018011622</v>
      </c>
      <c r="G220" s="9">
        <v>47</v>
      </c>
      <c r="H220" s="9">
        <v>104</v>
      </c>
      <c r="I220" s="9">
        <f t="shared" si="14"/>
        <v>86.899999999999991</v>
      </c>
      <c r="J220" s="9"/>
      <c r="K220" s="3">
        <v>16</v>
      </c>
      <c r="L220" s="3">
        <v>22</v>
      </c>
    </row>
    <row r="221" spans="1:12" ht="18.75" customHeight="1">
      <c r="A221" s="3" t="str">
        <f>"10522018022717112282313"</f>
        <v>10522018022717112282313</v>
      </c>
      <c r="B221" s="8" t="s">
        <v>18</v>
      </c>
      <c r="C221" s="9" t="str">
        <f t="shared" si="15"/>
        <v>女</v>
      </c>
      <c r="D221" s="9" t="str">
        <f>"341621199311090520"</f>
        <v>341621199311090520</v>
      </c>
      <c r="E221" s="14" t="str">
        <f t="shared" si="16"/>
        <v>护理</v>
      </c>
      <c r="F221" s="9" t="str">
        <f>"2018012102"</f>
        <v>2018012102</v>
      </c>
      <c r="G221" s="9">
        <v>54</v>
      </c>
      <c r="H221" s="9">
        <v>101</v>
      </c>
      <c r="I221" s="9">
        <f t="shared" si="14"/>
        <v>86.899999999999991</v>
      </c>
      <c r="J221" s="9"/>
      <c r="K221" s="3">
        <v>21</v>
      </c>
      <c r="L221" s="3">
        <v>2</v>
      </c>
    </row>
    <row r="222" spans="1:12" ht="18.75" customHeight="1">
      <c r="A222" s="3" t="str">
        <f>"10522018022613381481853"</f>
        <v>10522018022613381481853</v>
      </c>
      <c r="B222" s="8" t="s">
        <v>18</v>
      </c>
      <c r="C222" s="9" t="str">
        <f t="shared" si="15"/>
        <v>女</v>
      </c>
      <c r="D222" s="9" t="str">
        <f>"34162319950808264X"</f>
        <v>34162319950808264X</v>
      </c>
      <c r="E222" s="14" t="str">
        <f t="shared" si="16"/>
        <v>护理</v>
      </c>
      <c r="F222" s="9" t="str">
        <f>"2018011829"</f>
        <v>2018011829</v>
      </c>
      <c r="G222" s="9">
        <v>53</v>
      </c>
      <c r="H222" s="9">
        <v>101</v>
      </c>
      <c r="I222" s="9">
        <f t="shared" si="14"/>
        <v>86.6</v>
      </c>
      <c r="J222" s="9"/>
      <c r="K222" s="3">
        <v>18</v>
      </c>
      <c r="L222" s="3">
        <v>29</v>
      </c>
    </row>
    <row r="223" spans="1:12" ht="18.75" customHeight="1">
      <c r="A223" s="3" t="str">
        <f>"10522018022710345082179"</f>
        <v>10522018022710345082179</v>
      </c>
      <c r="B223" s="8" t="s">
        <v>18</v>
      </c>
      <c r="C223" s="9" t="str">
        <f t="shared" si="15"/>
        <v>女</v>
      </c>
      <c r="D223" s="9" t="str">
        <f>"341223199504103325"</f>
        <v>341223199504103325</v>
      </c>
      <c r="E223" s="14" t="str">
        <f t="shared" si="16"/>
        <v>护理</v>
      </c>
      <c r="F223" s="9" t="str">
        <f>"2018011502"</f>
        <v>2018011502</v>
      </c>
      <c r="G223" s="9">
        <v>55</v>
      </c>
      <c r="H223" s="9">
        <v>100</v>
      </c>
      <c r="I223" s="9">
        <f t="shared" si="14"/>
        <v>86.5</v>
      </c>
      <c r="J223" s="9"/>
      <c r="K223" s="3">
        <v>15</v>
      </c>
      <c r="L223" s="3">
        <v>2</v>
      </c>
    </row>
    <row r="224" spans="1:12" ht="18.75" customHeight="1">
      <c r="A224" s="3" t="str">
        <f>"10522018022718571982348"</f>
        <v>10522018022718571982348</v>
      </c>
      <c r="B224" s="8" t="s">
        <v>18</v>
      </c>
      <c r="C224" s="9" t="str">
        <f t="shared" si="15"/>
        <v>女</v>
      </c>
      <c r="D224" s="9" t="str">
        <f>"341221199707172029"</f>
        <v>341221199707172029</v>
      </c>
      <c r="E224" s="14" t="str">
        <f t="shared" si="16"/>
        <v>护理</v>
      </c>
      <c r="F224" s="9" t="str">
        <f>"2018010928"</f>
        <v>2018010928</v>
      </c>
      <c r="G224" s="9">
        <v>52.5</v>
      </c>
      <c r="H224" s="9">
        <v>101</v>
      </c>
      <c r="I224" s="9">
        <f t="shared" si="14"/>
        <v>86.449999999999989</v>
      </c>
      <c r="J224" s="9"/>
      <c r="K224" s="3">
        <v>9</v>
      </c>
      <c r="L224" s="3">
        <v>28</v>
      </c>
    </row>
    <row r="225" spans="1:12" ht="18.75" customHeight="1">
      <c r="A225" s="3" t="str">
        <f>"10522018022615545281935"</f>
        <v>10522018022615545281935</v>
      </c>
      <c r="B225" s="8" t="s">
        <v>18</v>
      </c>
      <c r="C225" s="9" t="str">
        <f t="shared" si="15"/>
        <v>女</v>
      </c>
      <c r="D225" s="9" t="str">
        <f>"341227199705200442"</f>
        <v>341227199705200442</v>
      </c>
      <c r="E225" s="14" t="str">
        <f t="shared" si="16"/>
        <v>护理</v>
      </c>
      <c r="F225" s="9" t="str">
        <f>"2018011727"</f>
        <v>2018011727</v>
      </c>
      <c r="G225" s="9">
        <v>40</v>
      </c>
      <c r="H225" s="9">
        <v>106</v>
      </c>
      <c r="I225" s="9">
        <f t="shared" si="14"/>
        <v>86.199999999999989</v>
      </c>
      <c r="J225" s="9"/>
      <c r="K225" s="3">
        <v>17</v>
      </c>
      <c r="L225" s="3">
        <v>27</v>
      </c>
    </row>
    <row r="226" spans="1:12" ht="18.75" customHeight="1">
      <c r="A226" s="3" t="str">
        <f>"10522018022712175482217"</f>
        <v>10522018022712175482217</v>
      </c>
      <c r="B226" s="8" t="s">
        <v>18</v>
      </c>
      <c r="C226" s="9" t="str">
        <f t="shared" si="15"/>
        <v>女</v>
      </c>
      <c r="D226" s="9" t="str">
        <f>"341223199501111928"</f>
        <v>341223199501111928</v>
      </c>
      <c r="E226" s="14" t="str">
        <f t="shared" si="16"/>
        <v>护理</v>
      </c>
      <c r="F226" s="9" t="str">
        <f>"2018011311"</f>
        <v>2018011311</v>
      </c>
      <c r="G226" s="9">
        <v>53</v>
      </c>
      <c r="H226" s="9">
        <v>100</v>
      </c>
      <c r="I226" s="9">
        <f t="shared" si="14"/>
        <v>85.9</v>
      </c>
      <c r="J226" s="9"/>
      <c r="K226" s="3">
        <v>13</v>
      </c>
      <c r="L226" s="3">
        <v>11</v>
      </c>
    </row>
    <row r="227" spans="1:12" ht="18.75" customHeight="1">
      <c r="A227" s="3" t="str">
        <f>"10522018030118251682989"</f>
        <v>10522018030118251682989</v>
      </c>
      <c r="B227" s="8" t="s">
        <v>18</v>
      </c>
      <c r="C227" s="9" t="str">
        <f t="shared" si="15"/>
        <v>女</v>
      </c>
      <c r="D227" s="9" t="str">
        <f>"341227199702080027"</f>
        <v>341227199702080027</v>
      </c>
      <c r="E227" s="14" t="str">
        <f t="shared" si="16"/>
        <v>护理</v>
      </c>
      <c r="F227" s="9" t="str">
        <f>"2018012115"</f>
        <v>2018012115</v>
      </c>
      <c r="G227" s="9">
        <v>53</v>
      </c>
      <c r="H227" s="9">
        <v>100</v>
      </c>
      <c r="I227" s="9">
        <f t="shared" si="14"/>
        <v>85.9</v>
      </c>
      <c r="J227" s="9"/>
      <c r="K227" s="3">
        <v>21</v>
      </c>
      <c r="L227" s="3">
        <v>15</v>
      </c>
    </row>
    <row r="228" spans="1:12" ht="18.75" customHeight="1">
      <c r="A228" s="3" t="str">
        <f>"10522018022720371882401"</f>
        <v>10522018022720371882401</v>
      </c>
      <c r="B228" s="8" t="s">
        <v>18</v>
      </c>
      <c r="C228" s="9" t="str">
        <f t="shared" si="15"/>
        <v>女</v>
      </c>
      <c r="D228" s="9" t="str">
        <f>"341281199310249004"</f>
        <v>341281199310249004</v>
      </c>
      <c r="E228" s="14" t="str">
        <f t="shared" si="16"/>
        <v>护理</v>
      </c>
      <c r="F228" s="9" t="str">
        <f>"2018010804"</f>
        <v>2018010804</v>
      </c>
      <c r="G228" s="9">
        <v>45</v>
      </c>
      <c r="H228" s="9">
        <v>103</v>
      </c>
      <c r="I228" s="9">
        <f t="shared" si="14"/>
        <v>85.6</v>
      </c>
      <c r="J228" s="9"/>
      <c r="K228" s="3">
        <v>8</v>
      </c>
      <c r="L228" s="3">
        <v>4</v>
      </c>
    </row>
    <row r="229" spans="1:12" ht="18.75" customHeight="1">
      <c r="A229" s="3" t="str">
        <f>"10522018022712171482216"</f>
        <v>10522018022712171482216</v>
      </c>
      <c r="B229" s="8" t="s">
        <v>18</v>
      </c>
      <c r="C229" s="9" t="str">
        <f t="shared" si="15"/>
        <v>女</v>
      </c>
      <c r="D229" s="9" t="str">
        <f>"341202199403053160"</f>
        <v>341202199403053160</v>
      </c>
      <c r="E229" s="14" t="str">
        <f t="shared" si="16"/>
        <v>护理</v>
      </c>
      <c r="F229" s="9" t="str">
        <f>"2018011813"</f>
        <v>2018011813</v>
      </c>
      <c r="G229" s="9">
        <v>51.5</v>
      </c>
      <c r="H229" s="9">
        <v>100</v>
      </c>
      <c r="I229" s="9">
        <f t="shared" si="14"/>
        <v>85.45</v>
      </c>
      <c r="J229" s="9"/>
      <c r="K229" s="3">
        <v>18</v>
      </c>
      <c r="L229" s="3">
        <v>13</v>
      </c>
    </row>
    <row r="230" spans="1:12" ht="18.75" customHeight="1">
      <c r="A230" s="3" t="str">
        <f>"10522018022612560881819"</f>
        <v>10522018022612560881819</v>
      </c>
      <c r="B230" s="8" t="s">
        <v>18</v>
      </c>
      <c r="C230" s="9" t="str">
        <f t="shared" si="15"/>
        <v>女</v>
      </c>
      <c r="D230" s="9" t="str">
        <f>"34122319950406432X"</f>
        <v>34122319950406432X</v>
      </c>
      <c r="E230" s="14" t="str">
        <f t="shared" si="16"/>
        <v>护理</v>
      </c>
      <c r="F230" s="9" t="str">
        <f>"2018011529"</f>
        <v>2018011529</v>
      </c>
      <c r="G230" s="9">
        <v>63</v>
      </c>
      <c r="H230" s="9">
        <v>95</v>
      </c>
      <c r="I230" s="9">
        <f t="shared" si="14"/>
        <v>85.4</v>
      </c>
      <c r="J230" s="9"/>
      <c r="K230" s="3">
        <v>15</v>
      </c>
      <c r="L230" s="3">
        <v>29</v>
      </c>
    </row>
    <row r="231" spans="1:12" ht="18.75" customHeight="1">
      <c r="A231" s="3" t="str">
        <f>"10522018022810421682519"</f>
        <v>10522018022810421682519</v>
      </c>
      <c r="B231" s="8" t="s">
        <v>18</v>
      </c>
      <c r="C231" s="9" t="str">
        <f t="shared" si="15"/>
        <v>女</v>
      </c>
      <c r="D231" s="9" t="str">
        <f>"341622199506254923"</f>
        <v>341622199506254923</v>
      </c>
      <c r="E231" s="14" t="str">
        <f t="shared" si="16"/>
        <v>护理</v>
      </c>
      <c r="F231" s="9" t="str">
        <f>"2018011425"</f>
        <v>2018011425</v>
      </c>
      <c r="G231" s="9">
        <v>60</v>
      </c>
      <c r="H231" s="9">
        <v>96</v>
      </c>
      <c r="I231" s="9">
        <f t="shared" si="14"/>
        <v>85.199999999999989</v>
      </c>
      <c r="J231" s="9"/>
      <c r="K231" s="3">
        <v>14</v>
      </c>
      <c r="L231" s="3">
        <v>25</v>
      </c>
    </row>
    <row r="232" spans="1:12" ht="18.75" customHeight="1">
      <c r="A232" s="3" t="str">
        <f>"10522018022614102281870"</f>
        <v>10522018022614102281870</v>
      </c>
      <c r="B232" s="8" t="s">
        <v>18</v>
      </c>
      <c r="C232" s="9" t="str">
        <f t="shared" si="15"/>
        <v>女</v>
      </c>
      <c r="D232" s="9" t="str">
        <f>"341227199607287628"</f>
        <v>341227199607287628</v>
      </c>
      <c r="E232" s="14" t="str">
        <f t="shared" si="16"/>
        <v>护理</v>
      </c>
      <c r="F232" s="9" t="str">
        <f>"2018012027"</f>
        <v>2018012027</v>
      </c>
      <c r="G232" s="9">
        <v>31.5</v>
      </c>
      <c r="H232" s="9">
        <v>108</v>
      </c>
      <c r="I232" s="9">
        <f t="shared" si="14"/>
        <v>85.05</v>
      </c>
      <c r="J232" s="9"/>
      <c r="K232" s="3">
        <v>20</v>
      </c>
      <c r="L232" s="3">
        <v>27</v>
      </c>
    </row>
    <row r="233" spans="1:12" ht="18.75" customHeight="1">
      <c r="A233" s="3" t="str">
        <f>"10522018022621501482098"</f>
        <v>10522018022621501482098</v>
      </c>
      <c r="B233" s="8" t="s">
        <v>18</v>
      </c>
      <c r="C233" s="9" t="str">
        <f t="shared" si="15"/>
        <v>女</v>
      </c>
      <c r="D233" s="9" t="str">
        <f>"341281199608035842"</f>
        <v>341281199608035842</v>
      </c>
      <c r="E233" s="14" t="str">
        <f t="shared" si="16"/>
        <v>护理</v>
      </c>
      <c r="F233" s="9" t="str">
        <f>"2018010828"</f>
        <v>2018010828</v>
      </c>
      <c r="G233" s="9">
        <v>54.5</v>
      </c>
      <c r="H233" s="9">
        <v>98</v>
      </c>
      <c r="I233" s="9">
        <f t="shared" si="14"/>
        <v>84.949999999999989</v>
      </c>
      <c r="J233" s="9"/>
      <c r="K233" s="3">
        <v>8</v>
      </c>
      <c r="L233" s="3">
        <v>28</v>
      </c>
    </row>
    <row r="234" spans="1:12" ht="18.75" customHeight="1">
      <c r="A234" s="3" t="str">
        <f>"10522018022610485581711"</f>
        <v>10522018022610485581711</v>
      </c>
      <c r="B234" s="8" t="s">
        <v>18</v>
      </c>
      <c r="C234" s="9" t="str">
        <f t="shared" si="15"/>
        <v>女</v>
      </c>
      <c r="D234" s="9" t="str">
        <f>"34162119941012022X"</f>
        <v>34162119941012022X</v>
      </c>
      <c r="E234" s="14" t="str">
        <f t="shared" si="16"/>
        <v>护理</v>
      </c>
      <c r="F234" s="9" t="str">
        <f>"2018010825"</f>
        <v>2018010825</v>
      </c>
      <c r="G234" s="9">
        <v>49.5</v>
      </c>
      <c r="H234" s="9">
        <v>100</v>
      </c>
      <c r="I234" s="9">
        <f t="shared" si="14"/>
        <v>84.85</v>
      </c>
      <c r="J234" s="9"/>
      <c r="K234" s="3">
        <v>8</v>
      </c>
      <c r="L234" s="3">
        <v>25</v>
      </c>
    </row>
    <row r="235" spans="1:12" ht="18.75" customHeight="1">
      <c r="A235" s="3" t="str">
        <f>"10522018022612244481790"</f>
        <v>10522018022612244481790</v>
      </c>
      <c r="B235" s="8" t="s">
        <v>18</v>
      </c>
      <c r="C235" s="9" t="str">
        <f t="shared" si="15"/>
        <v>女</v>
      </c>
      <c r="D235" s="9" t="str">
        <f>"341621199307094529"</f>
        <v>341621199307094529</v>
      </c>
      <c r="E235" s="14" t="str">
        <f t="shared" si="16"/>
        <v>护理</v>
      </c>
      <c r="F235" s="9" t="str">
        <f>"2018011806"</f>
        <v>2018011806</v>
      </c>
      <c r="G235" s="9">
        <v>49.5</v>
      </c>
      <c r="H235" s="9">
        <v>100</v>
      </c>
      <c r="I235" s="9">
        <f t="shared" si="14"/>
        <v>84.85</v>
      </c>
      <c r="J235" s="9"/>
      <c r="K235" s="3">
        <v>18</v>
      </c>
      <c r="L235" s="3">
        <v>6</v>
      </c>
    </row>
    <row r="236" spans="1:12" ht="18.75" customHeight="1">
      <c r="A236" s="3" t="str">
        <f>"10522018022614064181867"</f>
        <v>10522018022614064181867</v>
      </c>
      <c r="B236" s="8" t="s">
        <v>18</v>
      </c>
      <c r="C236" s="9" t="str">
        <f t="shared" si="15"/>
        <v>女</v>
      </c>
      <c r="D236" s="9" t="str">
        <f>"341623199412142329"</f>
        <v>341623199412142329</v>
      </c>
      <c r="E236" s="14" t="str">
        <f t="shared" si="16"/>
        <v>护理</v>
      </c>
      <c r="F236" s="9" t="str">
        <f>"2018011902"</f>
        <v>2018011902</v>
      </c>
      <c r="G236" s="9">
        <v>36</v>
      </c>
      <c r="H236" s="9">
        <v>105</v>
      </c>
      <c r="I236" s="9">
        <f t="shared" si="14"/>
        <v>84.3</v>
      </c>
      <c r="J236" s="9"/>
      <c r="K236" s="3">
        <v>19</v>
      </c>
      <c r="L236" s="3">
        <v>2</v>
      </c>
    </row>
    <row r="237" spans="1:12" ht="18.75" customHeight="1">
      <c r="A237" s="3" t="str">
        <f>"10522018022721582282435"</f>
        <v>10522018022721582282435</v>
      </c>
      <c r="B237" s="8" t="s">
        <v>18</v>
      </c>
      <c r="C237" s="9" t="str">
        <f t="shared" si="15"/>
        <v>女</v>
      </c>
      <c r="D237" s="9" t="str">
        <f>"341227199303126729"</f>
        <v>341227199303126729</v>
      </c>
      <c r="E237" s="14" t="str">
        <f t="shared" si="16"/>
        <v>护理</v>
      </c>
      <c r="F237" s="9" t="str">
        <f>"2018011527"</f>
        <v>2018011527</v>
      </c>
      <c r="G237" s="9">
        <v>47.5</v>
      </c>
      <c r="H237" s="9">
        <v>100</v>
      </c>
      <c r="I237" s="9">
        <f t="shared" si="14"/>
        <v>84.25</v>
      </c>
      <c r="J237" s="9"/>
      <c r="K237" s="3">
        <v>15</v>
      </c>
      <c r="L237" s="3">
        <v>27</v>
      </c>
    </row>
    <row r="238" spans="1:12" ht="18.75" customHeight="1">
      <c r="A238" s="3" t="str">
        <f>"10522018022618413082019"</f>
        <v>10522018022618413082019</v>
      </c>
      <c r="B238" s="8" t="s">
        <v>18</v>
      </c>
      <c r="C238" s="9" t="str">
        <f t="shared" si="15"/>
        <v>女</v>
      </c>
      <c r="D238" s="9" t="str">
        <f>"341223199408081744"</f>
        <v>341223199408081744</v>
      </c>
      <c r="E238" s="14" t="str">
        <f t="shared" si="16"/>
        <v>护理</v>
      </c>
      <c r="F238" s="9" t="str">
        <f>"2018010811"</f>
        <v>2018010811</v>
      </c>
      <c r="G238" s="9">
        <v>52</v>
      </c>
      <c r="H238" s="9">
        <v>98</v>
      </c>
      <c r="I238" s="9">
        <f t="shared" si="14"/>
        <v>84.199999999999989</v>
      </c>
      <c r="J238" s="9"/>
      <c r="K238" s="3">
        <v>8</v>
      </c>
      <c r="L238" s="3">
        <v>11</v>
      </c>
    </row>
    <row r="239" spans="1:12" ht="18.75" customHeight="1">
      <c r="A239" s="3" t="str">
        <f>"10522018022615541481933"</f>
        <v>10522018022615541481933</v>
      </c>
      <c r="B239" s="8" t="s">
        <v>18</v>
      </c>
      <c r="C239" s="9" t="str">
        <f t="shared" si="15"/>
        <v>女</v>
      </c>
      <c r="D239" s="9" t="str">
        <f>"341227199402182347"</f>
        <v>341227199402182347</v>
      </c>
      <c r="E239" s="14" t="str">
        <f t="shared" si="16"/>
        <v>护理</v>
      </c>
      <c r="F239" s="9" t="str">
        <f>"2018011801"</f>
        <v>2018011801</v>
      </c>
      <c r="G239" s="9">
        <v>44.5</v>
      </c>
      <c r="H239" s="9">
        <v>101</v>
      </c>
      <c r="I239" s="9">
        <f t="shared" si="14"/>
        <v>84.049999999999983</v>
      </c>
      <c r="J239" s="9"/>
      <c r="K239" s="3">
        <v>18</v>
      </c>
      <c r="L239" s="3">
        <v>1</v>
      </c>
    </row>
    <row r="240" spans="1:12" ht="18.75" customHeight="1">
      <c r="A240" s="3" t="str">
        <f>"10522018022610420281699"</f>
        <v>10522018022610420281699</v>
      </c>
      <c r="B240" s="8" t="s">
        <v>18</v>
      </c>
      <c r="C240" s="9" t="str">
        <f t="shared" si="15"/>
        <v>女</v>
      </c>
      <c r="D240" s="9" t="str">
        <f>"341621199802145522"</f>
        <v>341621199802145522</v>
      </c>
      <c r="E240" s="14" t="str">
        <f t="shared" si="16"/>
        <v>护理</v>
      </c>
      <c r="F240" s="9" t="str">
        <f>"2018010621"</f>
        <v>2018010621</v>
      </c>
      <c r="G240" s="9">
        <v>49</v>
      </c>
      <c r="H240" s="9">
        <v>99</v>
      </c>
      <c r="I240" s="9">
        <f t="shared" si="14"/>
        <v>84</v>
      </c>
      <c r="J240" s="9"/>
      <c r="K240" s="3">
        <v>6</v>
      </c>
      <c r="L240" s="3">
        <v>21</v>
      </c>
    </row>
    <row r="241" spans="1:12" ht="18.75" customHeight="1">
      <c r="A241" s="3" t="str">
        <f>"10522018022816112782647"</f>
        <v>10522018022816112782647</v>
      </c>
      <c r="B241" s="8" t="s">
        <v>18</v>
      </c>
      <c r="C241" s="9" t="str">
        <f t="shared" si="15"/>
        <v>女</v>
      </c>
      <c r="D241" s="9" t="str">
        <f>"341227199505150022"</f>
        <v>341227199505150022</v>
      </c>
      <c r="E241" s="14" t="str">
        <f t="shared" si="16"/>
        <v>护理</v>
      </c>
      <c r="F241" s="9" t="str">
        <f>"2018011815"</f>
        <v>2018011815</v>
      </c>
      <c r="G241" s="9">
        <v>47.5</v>
      </c>
      <c r="H241" s="9">
        <v>99</v>
      </c>
      <c r="I241" s="9">
        <f t="shared" si="14"/>
        <v>83.55</v>
      </c>
      <c r="J241" s="9"/>
      <c r="K241" s="3">
        <v>18</v>
      </c>
      <c r="L241" s="3">
        <v>15</v>
      </c>
    </row>
    <row r="242" spans="1:12" ht="18.75" customHeight="1">
      <c r="A242" s="3" t="str">
        <f>"10522018022709250782144"</f>
        <v>10522018022709250782144</v>
      </c>
      <c r="B242" s="8" t="s">
        <v>18</v>
      </c>
      <c r="C242" s="9" t="str">
        <f t="shared" si="15"/>
        <v>女</v>
      </c>
      <c r="D242" s="9" t="str">
        <f>"341223199510270226"</f>
        <v>341223199510270226</v>
      </c>
      <c r="E242" s="14" t="str">
        <f t="shared" si="16"/>
        <v>护理</v>
      </c>
      <c r="F242" s="9" t="str">
        <f>"2018011720"</f>
        <v>2018011720</v>
      </c>
      <c r="G242" s="9">
        <v>68</v>
      </c>
      <c r="H242" s="9">
        <v>90</v>
      </c>
      <c r="I242" s="9">
        <f t="shared" si="14"/>
        <v>83.399999999999991</v>
      </c>
      <c r="J242" s="9"/>
      <c r="K242" s="3">
        <v>17</v>
      </c>
      <c r="L242" s="3">
        <v>20</v>
      </c>
    </row>
    <row r="243" spans="1:12" ht="18.75" customHeight="1">
      <c r="A243" s="3" t="str">
        <f>"10522018022612555981818"</f>
        <v>10522018022612555981818</v>
      </c>
      <c r="B243" s="8" t="s">
        <v>18</v>
      </c>
      <c r="C243" s="9" t="str">
        <f t="shared" si="15"/>
        <v>女</v>
      </c>
      <c r="D243" s="9" t="str">
        <f>"34122719980818342X"</f>
        <v>34122719980818342X</v>
      </c>
      <c r="E243" s="14" t="str">
        <f t="shared" si="16"/>
        <v>护理</v>
      </c>
      <c r="F243" s="9" t="str">
        <f>"2018012017"</f>
        <v>2018012017</v>
      </c>
      <c r="G243" s="9">
        <v>42</v>
      </c>
      <c r="H243" s="9">
        <v>101</v>
      </c>
      <c r="I243" s="9">
        <f t="shared" si="14"/>
        <v>83.299999999999983</v>
      </c>
      <c r="J243" s="9"/>
      <c r="K243" s="3">
        <v>20</v>
      </c>
      <c r="L243" s="3">
        <v>17</v>
      </c>
    </row>
    <row r="244" spans="1:12" ht="18.75" customHeight="1">
      <c r="A244" s="3" t="str">
        <f>"10522018022614312981882"</f>
        <v>10522018022614312981882</v>
      </c>
      <c r="B244" s="8" t="s">
        <v>18</v>
      </c>
      <c r="C244" s="9" t="str">
        <f t="shared" si="15"/>
        <v>女</v>
      </c>
      <c r="D244" s="9" t="str">
        <f>"341621199611121544"</f>
        <v>341621199611121544</v>
      </c>
      <c r="E244" s="14" t="str">
        <f t="shared" si="16"/>
        <v>护理</v>
      </c>
      <c r="F244" s="9" t="str">
        <f>"2018011916"</f>
        <v>2018011916</v>
      </c>
      <c r="G244" s="9">
        <v>53.5</v>
      </c>
      <c r="H244" s="9">
        <v>96</v>
      </c>
      <c r="I244" s="9">
        <f t="shared" si="14"/>
        <v>83.249999999999986</v>
      </c>
      <c r="J244" s="9"/>
      <c r="K244" s="3">
        <v>19</v>
      </c>
      <c r="L244" s="3">
        <v>16</v>
      </c>
    </row>
    <row r="245" spans="1:12" ht="18.75" customHeight="1">
      <c r="A245" s="3" t="str">
        <f>"10522018022713071882228"</f>
        <v>10522018022713071882228</v>
      </c>
      <c r="B245" s="8" t="s">
        <v>18</v>
      </c>
      <c r="C245" s="9" t="str">
        <f t="shared" si="15"/>
        <v>女</v>
      </c>
      <c r="D245" s="9" t="str">
        <f>"341221199611202107"</f>
        <v>341221199611202107</v>
      </c>
      <c r="E245" s="14" t="str">
        <f t="shared" si="16"/>
        <v>护理</v>
      </c>
      <c r="F245" s="9" t="str">
        <f>"2018012122"</f>
        <v>2018012122</v>
      </c>
      <c r="G245" s="9">
        <v>39.5</v>
      </c>
      <c r="H245" s="9">
        <v>102</v>
      </c>
      <c r="I245" s="9">
        <f t="shared" si="14"/>
        <v>83.249999999999986</v>
      </c>
      <c r="J245" s="9"/>
      <c r="K245" s="3">
        <v>21</v>
      </c>
      <c r="L245" s="3">
        <v>22</v>
      </c>
    </row>
    <row r="246" spans="1:12" ht="18.75" customHeight="1">
      <c r="A246" s="3" t="str">
        <f>"10522018022609233681605"</f>
        <v>10522018022609233681605</v>
      </c>
      <c r="B246" s="8" t="s">
        <v>18</v>
      </c>
      <c r="C246" s="9" t="str">
        <f t="shared" si="15"/>
        <v>女</v>
      </c>
      <c r="D246" s="9" t="str">
        <f>"341227199707300025"</f>
        <v>341227199707300025</v>
      </c>
      <c r="E246" s="14" t="str">
        <f t="shared" si="16"/>
        <v>护理</v>
      </c>
      <c r="F246" s="9" t="str">
        <f>"2018010914"</f>
        <v>2018010914</v>
      </c>
      <c r="G246" s="9">
        <v>44</v>
      </c>
      <c r="H246" s="9">
        <v>100</v>
      </c>
      <c r="I246" s="9">
        <f t="shared" si="14"/>
        <v>83.2</v>
      </c>
      <c r="J246" s="9"/>
      <c r="K246" s="3">
        <v>9</v>
      </c>
      <c r="L246" s="3">
        <v>14</v>
      </c>
    </row>
    <row r="247" spans="1:12" ht="18.75" customHeight="1">
      <c r="A247" s="3" t="str">
        <f>"10522018022810281582511"</f>
        <v>10522018022810281582511</v>
      </c>
      <c r="B247" s="8" t="s">
        <v>18</v>
      </c>
      <c r="C247" s="9" t="str">
        <f t="shared" si="15"/>
        <v>女</v>
      </c>
      <c r="D247" s="9" t="str">
        <f>"341621199606193922"</f>
        <v>341621199606193922</v>
      </c>
      <c r="E247" s="14" t="str">
        <f t="shared" si="16"/>
        <v>护理</v>
      </c>
      <c r="F247" s="9" t="str">
        <f>"2018011013"</f>
        <v>2018011013</v>
      </c>
      <c r="G247" s="9">
        <v>53</v>
      </c>
      <c r="H247" s="9">
        <v>96</v>
      </c>
      <c r="I247" s="9">
        <f t="shared" si="14"/>
        <v>83.1</v>
      </c>
      <c r="J247" s="9"/>
      <c r="K247" s="3">
        <v>10</v>
      </c>
      <c r="L247" s="3">
        <v>13</v>
      </c>
    </row>
    <row r="248" spans="1:12" ht="18.75" customHeight="1">
      <c r="A248" s="3" t="str">
        <f>"10522018022610053081648"</f>
        <v>10522018022610053081648</v>
      </c>
      <c r="B248" s="8" t="s">
        <v>18</v>
      </c>
      <c r="C248" s="9" t="str">
        <f t="shared" si="15"/>
        <v>女</v>
      </c>
      <c r="D248" s="9" t="str">
        <f>"341621199311072728"</f>
        <v>341621199311072728</v>
      </c>
      <c r="E248" s="14" t="str">
        <f t="shared" si="16"/>
        <v>护理</v>
      </c>
      <c r="F248" s="9" t="str">
        <f>"2018011330"</f>
        <v>2018011330</v>
      </c>
      <c r="G248" s="9">
        <v>50.5</v>
      </c>
      <c r="H248" s="9">
        <v>97</v>
      </c>
      <c r="I248" s="9">
        <f t="shared" si="14"/>
        <v>83.049999999999983</v>
      </c>
      <c r="J248" s="9"/>
      <c r="K248" s="3">
        <v>13</v>
      </c>
      <c r="L248" s="3">
        <v>30</v>
      </c>
    </row>
    <row r="249" spans="1:12" ht="18.75" customHeight="1">
      <c r="A249" s="3" t="str">
        <f>"10522018030100062482776"</f>
        <v>10522018030100062482776</v>
      </c>
      <c r="B249" s="8" t="s">
        <v>18</v>
      </c>
      <c r="C249" s="9" t="str">
        <f t="shared" si="15"/>
        <v>女</v>
      </c>
      <c r="D249" s="9" t="str">
        <f>"341224199711220221"</f>
        <v>341224199711220221</v>
      </c>
      <c r="E249" s="14" t="str">
        <f t="shared" si="16"/>
        <v>护理</v>
      </c>
      <c r="F249" s="9" t="str">
        <f>"2018011614"</f>
        <v>2018011614</v>
      </c>
      <c r="G249" s="9">
        <v>52.5</v>
      </c>
      <c r="H249" s="9">
        <v>96</v>
      </c>
      <c r="I249" s="9">
        <f t="shared" si="14"/>
        <v>82.949999999999989</v>
      </c>
      <c r="J249" s="9"/>
      <c r="K249" s="3">
        <v>16</v>
      </c>
      <c r="L249" s="3">
        <v>14</v>
      </c>
    </row>
    <row r="250" spans="1:12" ht="18.75" customHeight="1">
      <c r="A250" s="3" t="str">
        <f>"10522018022813515082603"</f>
        <v>10522018022813515082603</v>
      </c>
      <c r="B250" s="8" t="s">
        <v>18</v>
      </c>
      <c r="C250" s="9" t="str">
        <f t="shared" si="15"/>
        <v>女</v>
      </c>
      <c r="D250" s="9" t="str">
        <f>"341223199707270027"</f>
        <v>341223199707270027</v>
      </c>
      <c r="E250" s="14" t="str">
        <f t="shared" si="16"/>
        <v>护理</v>
      </c>
      <c r="F250" s="9" t="str">
        <f>"2018011024"</f>
        <v>2018011024</v>
      </c>
      <c r="G250" s="9">
        <v>45</v>
      </c>
      <c r="H250" s="9">
        <v>99</v>
      </c>
      <c r="I250" s="9">
        <f t="shared" si="14"/>
        <v>82.8</v>
      </c>
      <c r="J250" s="9"/>
      <c r="K250" s="3">
        <v>10</v>
      </c>
      <c r="L250" s="3">
        <v>24</v>
      </c>
    </row>
    <row r="251" spans="1:12" ht="18.75" customHeight="1">
      <c r="A251" s="3" t="str">
        <f>"10522018022621485782096"</f>
        <v>10522018022621485782096</v>
      </c>
      <c r="B251" s="8" t="s">
        <v>18</v>
      </c>
      <c r="C251" s="9" t="str">
        <f t="shared" si="15"/>
        <v>女</v>
      </c>
      <c r="D251" s="9" t="str">
        <f>"341224199708163027"</f>
        <v>341224199708163027</v>
      </c>
      <c r="E251" s="14" t="str">
        <f>"护理专业"</f>
        <v>护理专业</v>
      </c>
      <c r="F251" s="9" t="str">
        <f>"2018011704"</f>
        <v>2018011704</v>
      </c>
      <c r="G251" s="9">
        <v>49.5</v>
      </c>
      <c r="H251" s="9">
        <v>97</v>
      </c>
      <c r="I251" s="9">
        <f t="shared" si="14"/>
        <v>82.749999999999986</v>
      </c>
      <c r="J251" s="9"/>
      <c r="K251" s="3">
        <v>17</v>
      </c>
      <c r="L251" s="3">
        <v>4</v>
      </c>
    </row>
    <row r="252" spans="1:12" ht="18.75" customHeight="1">
      <c r="A252" s="3" t="str">
        <f>"10522018022815414782636"</f>
        <v>10522018022815414782636</v>
      </c>
      <c r="B252" s="8" t="s">
        <v>18</v>
      </c>
      <c r="C252" s="9" t="str">
        <f t="shared" si="15"/>
        <v>女</v>
      </c>
      <c r="D252" s="9" t="str">
        <f>"341623199812042626"</f>
        <v>341623199812042626</v>
      </c>
      <c r="E252" s="14" t="str">
        <f t="shared" ref="E252:E258" si="17">"护理"</f>
        <v>护理</v>
      </c>
      <c r="F252" s="9" t="str">
        <f>"2018011503"</f>
        <v>2018011503</v>
      </c>
      <c r="G252" s="9">
        <v>44.5</v>
      </c>
      <c r="H252" s="9">
        <v>99</v>
      </c>
      <c r="I252" s="9">
        <f t="shared" si="14"/>
        <v>82.649999999999991</v>
      </c>
      <c r="J252" s="9"/>
      <c r="K252" s="3">
        <v>15</v>
      </c>
      <c r="L252" s="3">
        <v>3</v>
      </c>
    </row>
    <row r="253" spans="1:12" ht="18.75" customHeight="1">
      <c r="A253" s="3" t="str">
        <f>"10522018030122055583041"</f>
        <v>10522018030122055583041</v>
      </c>
      <c r="B253" s="8" t="s">
        <v>18</v>
      </c>
      <c r="C253" s="9" t="str">
        <f t="shared" si="15"/>
        <v>女</v>
      </c>
      <c r="D253" s="9" t="str">
        <f>"341227199408301028"</f>
        <v>341227199408301028</v>
      </c>
      <c r="E253" s="14" t="str">
        <f t="shared" si="17"/>
        <v>护理</v>
      </c>
      <c r="F253" s="9" t="str">
        <f>"2018010719"</f>
        <v>2018010719</v>
      </c>
      <c r="G253" s="9">
        <v>63</v>
      </c>
      <c r="H253" s="9">
        <v>91</v>
      </c>
      <c r="I253" s="9">
        <f t="shared" si="14"/>
        <v>82.6</v>
      </c>
      <c r="J253" s="9"/>
      <c r="K253" s="3">
        <v>7</v>
      </c>
      <c r="L253" s="3">
        <v>19</v>
      </c>
    </row>
    <row r="254" spans="1:12" ht="18.75" customHeight="1">
      <c r="A254" s="3" t="str">
        <f>"10522018030212181283125"</f>
        <v>10522018030212181283125</v>
      </c>
      <c r="B254" s="8" t="s">
        <v>18</v>
      </c>
      <c r="C254" s="9" t="str">
        <f t="shared" si="15"/>
        <v>女</v>
      </c>
      <c r="D254" s="9" t="str">
        <f>"341621199711010569"</f>
        <v>341621199711010569</v>
      </c>
      <c r="E254" s="14" t="str">
        <f t="shared" si="17"/>
        <v>护理</v>
      </c>
      <c r="F254" s="9" t="str">
        <f>"2018012207"</f>
        <v>2018012207</v>
      </c>
      <c r="G254" s="9">
        <v>46.5</v>
      </c>
      <c r="H254" s="9">
        <v>98</v>
      </c>
      <c r="I254" s="9">
        <f t="shared" si="14"/>
        <v>82.55</v>
      </c>
      <c r="J254" s="9"/>
      <c r="K254" s="3">
        <v>22</v>
      </c>
      <c r="L254" s="3">
        <v>7</v>
      </c>
    </row>
    <row r="255" spans="1:12" ht="18.75" customHeight="1">
      <c r="A255" s="3" t="str">
        <f>"10522018022814425582619"</f>
        <v>10522018022814425582619</v>
      </c>
      <c r="B255" s="8" t="s">
        <v>18</v>
      </c>
      <c r="C255" s="9" t="str">
        <f t="shared" si="15"/>
        <v>女</v>
      </c>
      <c r="D255" s="9" t="str">
        <f>"341223199407175140"</f>
        <v>341223199407175140</v>
      </c>
      <c r="E255" s="14" t="str">
        <f t="shared" si="17"/>
        <v>护理</v>
      </c>
      <c r="F255" s="9" t="str">
        <f>"2018011122"</f>
        <v>2018011122</v>
      </c>
      <c r="G255" s="9">
        <v>43</v>
      </c>
      <c r="H255" s="9">
        <v>99</v>
      </c>
      <c r="I255" s="9">
        <f t="shared" si="14"/>
        <v>82.2</v>
      </c>
      <c r="J255" s="9"/>
      <c r="K255" s="3">
        <v>11</v>
      </c>
      <c r="L255" s="3">
        <v>22</v>
      </c>
    </row>
    <row r="256" spans="1:12" ht="18.75" customHeight="1">
      <c r="A256" s="3" t="str">
        <f>"10522018022821311482749"</f>
        <v>10522018022821311482749</v>
      </c>
      <c r="B256" s="8" t="s">
        <v>18</v>
      </c>
      <c r="C256" s="9" t="str">
        <f t="shared" si="15"/>
        <v>女</v>
      </c>
      <c r="D256" s="9" t="str">
        <f>"341281199304165007"</f>
        <v>341281199304165007</v>
      </c>
      <c r="E256" s="14" t="str">
        <f t="shared" si="17"/>
        <v>护理</v>
      </c>
      <c r="F256" s="9" t="str">
        <f>"2018010809"</f>
        <v>2018010809</v>
      </c>
      <c r="G256" s="9">
        <v>50</v>
      </c>
      <c r="H256" s="9">
        <v>96</v>
      </c>
      <c r="I256" s="9">
        <f t="shared" si="14"/>
        <v>82.199999999999989</v>
      </c>
      <c r="J256" s="9"/>
      <c r="K256" s="3">
        <v>8</v>
      </c>
      <c r="L256" s="3">
        <v>9</v>
      </c>
    </row>
    <row r="257" spans="1:12" ht="18.75" customHeight="1">
      <c r="A257" s="3" t="str">
        <f>"10522018022813431582599"</f>
        <v>10522018022813431582599</v>
      </c>
      <c r="B257" s="8" t="s">
        <v>18</v>
      </c>
      <c r="C257" s="9" t="str">
        <f t="shared" si="15"/>
        <v>女</v>
      </c>
      <c r="D257" s="9" t="str">
        <f>"341227199310201029"</f>
        <v>341227199310201029</v>
      </c>
      <c r="E257" s="14" t="str">
        <f t="shared" si="17"/>
        <v>护理</v>
      </c>
      <c r="F257" s="9" t="str">
        <f>"2018012127"</f>
        <v>2018012127</v>
      </c>
      <c r="G257" s="9">
        <v>28.5</v>
      </c>
      <c r="H257" s="9">
        <v>105</v>
      </c>
      <c r="I257" s="9">
        <f t="shared" si="14"/>
        <v>82.05</v>
      </c>
      <c r="J257" s="9"/>
      <c r="K257" s="3">
        <v>21</v>
      </c>
      <c r="L257" s="3">
        <v>27</v>
      </c>
    </row>
    <row r="258" spans="1:12" ht="18.75" customHeight="1">
      <c r="A258" s="3" t="str">
        <f>"10522018022713434482241"</f>
        <v>10522018022713434482241</v>
      </c>
      <c r="B258" s="8" t="s">
        <v>18</v>
      </c>
      <c r="C258" s="9" t="str">
        <f t="shared" si="15"/>
        <v>女</v>
      </c>
      <c r="D258" s="9" t="str">
        <f>"341223199607255321"</f>
        <v>341223199607255321</v>
      </c>
      <c r="E258" s="14" t="str">
        <f t="shared" si="17"/>
        <v>护理</v>
      </c>
      <c r="F258" s="9" t="str">
        <f>"2018011101"</f>
        <v>2018011101</v>
      </c>
      <c r="G258" s="9">
        <v>47</v>
      </c>
      <c r="H258" s="9">
        <v>97</v>
      </c>
      <c r="I258" s="9">
        <f t="shared" si="14"/>
        <v>81.999999999999986</v>
      </c>
      <c r="J258" s="9"/>
      <c r="K258" s="3">
        <v>11</v>
      </c>
      <c r="L258" s="3">
        <v>1</v>
      </c>
    </row>
    <row r="259" spans="1:12" ht="18.75" customHeight="1">
      <c r="A259" s="3" t="str">
        <f>"10522018022710165382167"</f>
        <v>10522018022710165382167</v>
      </c>
      <c r="B259" s="8" t="s">
        <v>18</v>
      </c>
      <c r="C259" s="9" t="str">
        <f t="shared" si="15"/>
        <v>女</v>
      </c>
      <c r="D259" s="9" t="str">
        <f>"341221199710261524"</f>
        <v>341221199710261524</v>
      </c>
      <c r="E259" s="14" t="str">
        <f>"护理专业"</f>
        <v>护理专业</v>
      </c>
      <c r="F259" s="9" t="str">
        <f>"2018012204"</f>
        <v>2018012204</v>
      </c>
      <c r="G259" s="9">
        <v>28</v>
      </c>
      <c r="H259" s="9">
        <v>105</v>
      </c>
      <c r="I259" s="9">
        <f t="shared" ref="I259:I322" si="18">G259*0.3+H259*0.7</f>
        <v>81.900000000000006</v>
      </c>
      <c r="J259" s="9"/>
      <c r="K259" s="3">
        <v>22</v>
      </c>
      <c r="L259" s="3">
        <v>4</v>
      </c>
    </row>
    <row r="260" spans="1:12" ht="18.75" customHeight="1">
      <c r="A260" s="3" t="str">
        <f>"10522018022823070182769"</f>
        <v>10522018022823070182769</v>
      </c>
      <c r="B260" s="8" t="s">
        <v>18</v>
      </c>
      <c r="C260" s="9" t="str">
        <f t="shared" si="15"/>
        <v>女</v>
      </c>
      <c r="D260" s="9" t="str">
        <f>"341621199408105522"</f>
        <v>341621199408105522</v>
      </c>
      <c r="E260" s="14" t="str">
        <f t="shared" ref="E260:E266" si="19">"护理"</f>
        <v>护理</v>
      </c>
      <c r="F260" s="9" t="str">
        <f>"2018011621"</f>
        <v>2018011621</v>
      </c>
      <c r="G260" s="9">
        <v>39</v>
      </c>
      <c r="H260" s="9">
        <v>100</v>
      </c>
      <c r="I260" s="9">
        <f t="shared" si="18"/>
        <v>81.7</v>
      </c>
      <c r="J260" s="9"/>
      <c r="K260" s="3">
        <v>16</v>
      </c>
      <c r="L260" s="3">
        <v>21</v>
      </c>
    </row>
    <row r="261" spans="1:12" ht="18.75" customHeight="1">
      <c r="A261" s="3" t="str">
        <f>"10522018022609474581631"</f>
        <v>10522018022609474581631</v>
      </c>
      <c r="B261" s="8" t="s">
        <v>18</v>
      </c>
      <c r="C261" s="9" t="str">
        <f t="shared" si="15"/>
        <v>女</v>
      </c>
      <c r="D261" s="9" t="str">
        <f>"341281199303263502"</f>
        <v>341281199303263502</v>
      </c>
      <c r="E261" s="14" t="str">
        <f t="shared" si="19"/>
        <v>护理</v>
      </c>
      <c r="F261" s="9" t="str">
        <f>"2018012206"</f>
        <v>2018012206</v>
      </c>
      <c r="G261" s="9">
        <v>39</v>
      </c>
      <c r="H261" s="9">
        <v>100</v>
      </c>
      <c r="I261" s="9">
        <f t="shared" si="18"/>
        <v>81.7</v>
      </c>
      <c r="J261" s="9"/>
      <c r="K261" s="3">
        <v>22</v>
      </c>
      <c r="L261" s="3">
        <v>6</v>
      </c>
    </row>
    <row r="262" spans="1:12" ht="18.75" customHeight="1">
      <c r="A262" s="3" t="str">
        <f>"10522018022611520981771"</f>
        <v>10522018022611520981771</v>
      </c>
      <c r="B262" s="8" t="s">
        <v>18</v>
      </c>
      <c r="C262" s="9" t="str">
        <f t="shared" si="15"/>
        <v>女</v>
      </c>
      <c r="D262" s="9" t="str">
        <f>"341621199708070229"</f>
        <v>341621199708070229</v>
      </c>
      <c r="E262" s="14" t="str">
        <f t="shared" si="19"/>
        <v>护理</v>
      </c>
      <c r="F262" s="9" t="str">
        <f>"2018011823"</f>
        <v>2018011823</v>
      </c>
      <c r="G262" s="9">
        <v>52.5</v>
      </c>
      <c r="H262" s="9">
        <v>94</v>
      </c>
      <c r="I262" s="9">
        <f t="shared" si="18"/>
        <v>81.55</v>
      </c>
      <c r="J262" s="9"/>
      <c r="K262" s="3">
        <v>18</v>
      </c>
      <c r="L262" s="3">
        <v>23</v>
      </c>
    </row>
    <row r="263" spans="1:12" ht="18.75" customHeight="1">
      <c r="A263" s="3" t="str">
        <f>"10522018022622550982112"</f>
        <v>10522018022622550982112</v>
      </c>
      <c r="B263" s="8" t="s">
        <v>18</v>
      </c>
      <c r="C263" s="9" t="str">
        <f t="shared" si="15"/>
        <v>女</v>
      </c>
      <c r="D263" s="9" t="str">
        <f>"341223199701070323"</f>
        <v>341223199701070323</v>
      </c>
      <c r="E263" s="14" t="str">
        <f t="shared" si="19"/>
        <v>护理</v>
      </c>
      <c r="F263" s="9" t="str">
        <f>"2018012004"</f>
        <v>2018012004</v>
      </c>
      <c r="G263" s="9">
        <v>59.5</v>
      </c>
      <c r="H263" s="9">
        <v>91</v>
      </c>
      <c r="I263" s="9">
        <f t="shared" si="18"/>
        <v>81.55</v>
      </c>
      <c r="J263" s="9"/>
      <c r="K263" s="3">
        <v>20</v>
      </c>
      <c r="L263" s="3">
        <v>4</v>
      </c>
    </row>
    <row r="264" spans="1:12" ht="18.75" customHeight="1">
      <c r="A264" s="3" t="str">
        <f>"10522018022616402181963"</f>
        <v>10522018022616402181963</v>
      </c>
      <c r="B264" s="8" t="s">
        <v>18</v>
      </c>
      <c r="C264" s="9" t="str">
        <f t="shared" si="15"/>
        <v>女</v>
      </c>
      <c r="D264" s="9" t="str">
        <f>"341227199310201563"</f>
        <v>341227199310201563</v>
      </c>
      <c r="E264" s="14" t="str">
        <f t="shared" si="19"/>
        <v>护理</v>
      </c>
      <c r="F264" s="9" t="str">
        <f>"2018010823"</f>
        <v>2018010823</v>
      </c>
      <c r="G264" s="9">
        <v>31</v>
      </c>
      <c r="H264" s="9">
        <v>103</v>
      </c>
      <c r="I264" s="9">
        <f t="shared" si="18"/>
        <v>81.399999999999991</v>
      </c>
      <c r="J264" s="9"/>
      <c r="K264" s="3">
        <v>8</v>
      </c>
      <c r="L264" s="3">
        <v>23</v>
      </c>
    </row>
    <row r="265" spans="1:12" ht="18.75" customHeight="1">
      <c r="A265" s="3" t="str">
        <f>"10522018022613310381847"</f>
        <v>10522018022613310381847</v>
      </c>
      <c r="B265" s="8" t="s">
        <v>18</v>
      </c>
      <c r="C265" s="9" t="str">
        <f t="shared" si="15"/>
        <v>女</v>
      </c>
      <c r="D265" s="9" t="str">
        <f>"142730199110110340"</f>
        <v>142730199110110340</v>
      </c>
      <c r="E265" s="14" t="str">
        <f t="shared" si="19"/>
        <v>护理</v>
      </c>
      <c r="F265" s="9" t="str">
        <f>"2018011825"</f>
        <v>2018011825</v>
      </c>
      <c r="G265" s="9">
        <v>49.5</v>
      </c>
      <c r="H265" s="9">
        <v>95</v>
      </c>
      <c r="I265" s="9">
        <f t="shared" si="18"/>
        <v>81.349999999999994</v>
      </c>
      <c r="J265" s="9"/>
      <c r="K265" s="3">
        <v>18</v>
      </c>
      <c r="L265" s="3">
        <v>25</v>
      </c>
    </row>
    <row r="266" spans="1:12" ht="18.75" customHeight="1">
      <c r="A266" s="3" t="str">
        <f>"10522018022722044282437"</f>
        <v>10522018022722044282437</v>
      </c>
      <c r="B266" s="8" t="s">
        <v>18</v>
      </c>
      <c r="C266" s="9" t="str">
        <f t="shared" ref="C266:C329" si="20">"女"</f>
        <v>女</v>
      </c>
      <c r="D266" s="9" t="str">
        <f>"341223199706180222"</f>
        <v>341223199706180222</v>
      </c>
      <c r="E266" s="14" t="str">
        <f t="shared" si="19"/>
        <v>护理</v>
      </c>
      <c r="F266" s="9" t="str">
        <f>"2018012117"</f>
        <v>2018012117</v>
      </c>
      <c r="G266" s="9">
        <v>47</v>
      </c>
      <c r="H266" s="9">
        <v>96</v>
      </c>
      <c r="I266" s="9">
        <f t="shared" si="18"/>
        <v>81.299999999999983</v>
      </c>
      <c r="J266" s="9"/>
      <c r="K266" s="3">
        <v>21</v>
      </c>
      <c r="L266" s="3">
        <v>17</v>
      </c>
    </row>
    <row r="267" spans="1:12" ht="18.75" customHeight="1">
      <c r="A267" s="3" t="str">
        <f>"10522018022814321382616"</f>
        <v>10522018022814321382616</v>
      </c>
      <c r="B267" s="8" t="s">
        <v>18</v>
      </c>
      <c r="C267" s="9" t="str">
        <f t="shared" si="20"/>
        <v>女</v>
      </c>
      <c r="D267" s="9" t="str">
        <f>"341623199409267622"</f>
        <v>341623199409267622</v>
      </c>
      <c r="E267" s="14" t="str">
        <f>"护理专业"</f>
        <v>护理专业</v>
      </c>
      <c r="F267" s="9" t="str">
        <f>"2018010606"</f>
        <v>2018010606</v>
      </c>
      <c r="G267" s="9">
        <v>37</v>
      </c>
      <c r="H267" s="9">
        <v>100</v>
      </c>
      <c r="I267" s="9">
        <f t="shared" si="18"/>
        <v>81.099999999999994</v>
      </c>
      <c r="J267" s="9"/>
      <c r="K267" s="3">
        <v>6</v>
      </c>
      <c r="L267" s="3">
        <v>6</v>
      </c>
    </row>
    <row r="268" spans="1:12" ht="18.75" customHeight="1">
      <c r="A268" s="3" t="str">
        <f>"10522018022610223981670"</f>
        <v>10522018022610223981670</v>
      </c>
      <c r="B268" s="8" t="s">
        <v>18</v>
      </c>
      <c r="C268" s="9" t="str">
        <f t="shared" si="20"/>
        <v>女</v>
      </c>
      <c r="D268" s="9" t="str">
        <f>"341621199608010026"</f>
        <v>341621199608010026</v>
      </c>
      <c r="E268" s="14" t="str">
        <f>"护理"</f>
        <v>护理</v>
      </c>
      <c r="F268" s="9" t="str">
        <f>"2018011826"</f>
        <v>2018011826</v>
      </c>
      <c r="G268" s="9">
        <v>58</v>
      </c>
      <c r="H268" s="9">
        <v>91</v>
      </c>
      <c r="I268" s="9">
        <f t="shared" si="18"/>
        <v>81.099999999999994</v>
      </c>
      <c r="J268" s="9"/>
      <c r="K268" s="3">
        <v>18</v>
      </c>
      <c r="L268" s="3">
        <v>26</v>
      </c>
    </row>
    <row r="269" spans="1:12" ht="18.75" customHeight="1">
      <c r="A269" s="3" t="str">
        <f>"10522018022611205581753"</f>
        <v>10522018022611205581753</v>
      </c>
      <c r="B269" s="8" t="s">
        <v>18</v>
      </c>
      <c r="C269" s="9" t="str">
        <f t="shared" si="20"/>
        <v>女</v>
      </c>
      <c r="D269" s="9" t="str">
        <f>"341602199407034620"</f>
        <v>341602199407034620</v>
      </c>
      <c r="E269" s="14" t="str">
        <f>"护理"</f>
        <v>护理</v>
      </c>
      <c r="F269" s="9" t="str">
        <f>"2018011920"</f>
        <v>2018011920</v>
      </c>
      <c r="G269" s="9">
        <v>53</v>
      </c>
      <c r="H269" s="9">
        <v>93</v>
      </c>
      <c r="I269" s="9">
        <f t="shared" si="18"/>
        <v>81</v>
      </c>
      <c r="J269" s="9"/>
      <c r="K269" s="3">
        <v>19</v>
      </c>
      <c r="L269" s="3">
        <v>20</v>
      </c>
    </row>
    <row r="270" spans="1:12" ht="18.75" customHeight="1">
      <c r="A270" s="3" t="str">
        <f>"10522018022611223381755"</f>
        <v>10522018022611223381755</v>
      </c>
      <c r="B270" s="8" t="s">
        <v>18</v>
      </c>
      <c r="C270" s="9" t="str">
        <f t="shared" si="20"/>
        <v>女</v>
      </c>
      <c r="D270" s="9" t="str">
        <f>"341223199501310345"</f>
        <v>341223199501310345</v>
      </c>
      <c r="E270" s="14" t="str">
        <f>"护理专业"</f>
        <v>护理专业</v>
      </c>
      <c r="F270" s="9" t="str">
        <f>"2018011927"</f>
        <v>2018011927</v>
      </c>
      <c r="G270" s="9">
        <v>29.5</v>
      </c>
      <c r="H270" s="9">
        <v>103</v>
      </c>
      <c r="I270" s="9">
        <f t="shared" si="18"/>
        <v>80.949999999999989</v>
      </c>
      <c r="J270" s="9"/>
      <c r="K270" s="3">
        <v>19</v>
      </c>
      <c r="L270" s="3">
        <v>27</v>
      </c>
    </row>
    <row r="271" spans="1:12" ht="18.75" customHeight="1">
      <c r="A271" s="3" t="str">
        <f>"10522018022713512382243"</f>
        <v>10522018022713512382243</v>
      </c>
      <c r="B271" s="8" t="s">
        <v>18</v>
      </c>
      <c r="C271" s="9" t="str">
        <f t="shared" si="20"/>
        <v>女</v>
      </c>
      <c r="D271" s="9" t="str">
        <f>"341227199804052027"</f>
        <v>341227199804052027</v>
      </c>
      <c r="E271" s="14" t="str">
        <f t="shared" ref="E271:E302" si="21">"护理"</f>
        <v>护理</v>
      </c>
      <c r="F271" s="9" t="str">
        <f>"2018011003"</f>
        <v>2018011003</v>
      </c>
      <c r="G271" s="9">
        <v>43</v>
      </c>
      <c r="H271" s="9">
        <v>97</v>
      </c>
      <c r="I271" s="9">
        <f t="shared" si="18"/>
        <v>80.8</v>
      </c>
      <c r="J271" s="9"/>
      <c r="K271" s="3">
        <v>10</v>
      </c>
      <c r="L271" s="3">
        <v>3</v>
      </c>
    </row>
    <row r="272" spans="1:12" ht="18.75" customHeight="1">
      <c r="A272" s="3" t="str">
        <f>"10522018022716315882304"</f>
        <v>10522018022716315882304</v>
      </c>
      <c r="B272" s="8" t="s">
        <v>18</v>
      </c>
      <c r="C272" s="9" t="str">
        <f t="shared" si="20"/>
        <v>女</v>
      </c>
      <c r="D272" s="9" t="str">
        <f>"341621199704264325"</f>
        <v>341621199704264325</v>
      </c>
      <c r="E272" s="14" t="str">
        <f t="shared" si="21"/>
        <v>护理</v>
      </c>
      <c r="F272" s="9" t="str">
        <f>"2018011508"</f>
        <v>2018011508</v>
      </c>
      <c r="G272" s="9">
        <v>47.5</v>
      </c>
      <c r="H272" s="9">
        <v>95</v>
      </c>
      <c r="I272" s="9">
        <f t="shared" si="18"/>
        <v>80.75</v>
      </c>
      <c r="J272" s="9"/>
      <c r="K272" s="3">
        <v>15</v>
      </c>
      <c r="L272" s="3">
        <v>8</v>
      </c>
    </row>
    <row r="273" spans="1:12" ht="18.75" customHeight="1">
      <c r="A273" s="3" t="str">
        <f>"10522018030112310682867"</f>
        <v>10522018030112310682867</v>
      </c>
      <c r="B273" s="8" t="s">
        <v>18</v>
      </c>
      <c r="C273" s="9" t="str">
        <f t="shared" si="20"/>
        <v>女</v>
      </c>
      <c r="D273" s="9" t="str">
        <f>"341227199412090729"</f>
        <v>341227199412090729</v>
      </c>
      <c r="E273" s="14" t="str">
        <f t="shared" si="21"/>
        <v>护理</v>
      </c>
      <c r="F273" s="9" t="str">
        <f>"2018011828"</f>
        <v>2018011828</v>
      </c>
      <c r="G273" s="9">
        <v>47.5</v>
      </c>
      <c r="H273" s="9">
        <v>95</v>
      </c>
      <c r="I273" s="9">
        <f t="shared" si="18"/>
        <v>80.75</v>
      </c>
      <c r="J273" s="9"/>
      <c r="K273" s="3">
        <v>18</v>
      </c>
      <c r="L273" s="3">
        <v>28</v>
      </c>
    </row>
    <row r="274" spans="1:12" ht="18.75" customHeight="1">
      <c r="A274" s="3" t="str">
        <f>"10522018022612593681826"</f>
        <v>10522018022612593681826</v>
      </c>
      <c r="B274" s="8" t="s">
        <v>18</v>
      </c>
      <c r="C274" s="9" t="str">
        <f t="shared" si="20"/>
        <v>女</v>
      </c>
      <c r="D274" s="9" t="str">
        <f>"341223199411090529"</f>
        <v>341223199411090529</v>
      </c>
      <c r="E274" s="14" t="str">
        <f t="shared" si="21"/>
        <v>护理</v>
      </c>
      <c r="F274" s="9" t="str">
        <f>"2018010530"</f>
        <v>2018010530</v>
      </c>
      <c r="G274" s="9">
        <v>44.5</v>
      </c>
      <c r="H274" s="9">
        <v>96</v>
      </c>
      <c r="I274" s="9">
        <f t="shared" si="18"/>
        <v>80.549999999999983</v>
      </c>
      <c r="J274" s="9"/>
      <c r="K274" s="3">
        <v>5</v>
      </c>
      <c r="L274" s="3">
        <v>30</v>
      </c>
    </row>
    <row r="275" spans="1:12" ht="18.75" customHeight="1">
      <c r="A275" s="3" t="str">
        <f>"10522018022615544481934"</f>
        <v>10522018022615544481934</v>
      </c>
      <c r="B275" s="8" t="s">
        <v>18</v>
      </c>
      <c r="C275" s="9" t="str">
        <f t="shared" si="20"/>
        <v>女</v>
      </c>
      <c r="D275" s="9" t="str">
        <f>"341623199608140448"</f>
        <v>341623199608140448</v>
      </c>
      <c r="E275" s="14" t="str">
        <f t="shared" si="21"/>
        <v>护理</v>
      </c>
      <c r="F275" s="9" t="str">
        <f>"2018011625"</f>
        <v>2018011625</v>
      </c>
      <c r="G275" s="9">
        <v>32.5</v>
      </c>
      <c r="H275" s="9">
        <v>101</v>
      </c>
      <c r="I275" s="9">
        <f t="shared" si="18"/>
        <v>80.449999999999989</v>
      </c>
      <c r="J275" s="9"/>
      <c r="K275" s="3">
        <v>16</v>
      </c>
      <c r="L275" s="3">
        <v>25</v>
      </c>
    </row>
    <row r="276" spans="1:12" ht="18.75" customHeight="1">
      <c r="A276" s="3" t="str">
        <f>"10522018022610431881704"</f>
        <v>10522018022610431881704</v>
      </c>
      <c r="B276" s="8" t="s">
        <v>18</v>
      </c>
      <c r="C276" s="9" t="str">
        <f t="shared" si="20"/>
        <v>女</v>
      </c>
      <c r="D276" s="9" t="str">
        <f>"34162119970812512X"</f>
        <v>34162119970812512X</v>
      </c>
      <c r="E276" s="14" t="str">
        <f t="shared" si="21"/>
        <v>护理</v>
      </c>
      <c r="F276" s="9" t="str">
        <f>"2018011703"</f>
        <v>2018011703</v>
      </c>
      <c r="G276" s="9">
        <v>34.5</v>
      </c>
      <c r="H276" s="9">
        <v>100</v>
      </c>
      <c r="I276" s="9">
        <f t="shared" si="18"/>
        <v>80.349999999999994</v>
      </c>
      <c r="J276" s="9"/>
      <c r="K276" s="3">
        <v>17</v>
      </c>
      <c r="L276" s="3">
        <v>3</v>
      </c>
    </row>
    <row r="277" spans="1:12" ht="18.75" customHeight="1">
      <c r="A277" s="3" t="str">
        <f>"10522018022611224981757"</f>
        <v>10522018022611224981757</v>
      </c>
      <c r="B277" s="8" t="s">
        <v>18</v>
      </c>
      <c r="C277" s="9" t="str">
        <f t="shared" si="20"/>
        <v>女</v>
      </c>
      <c r="D277" s="9" t="str">
        <f>"341223199611140228"</f>
        <v>341223199611140228</v>
      </c>
      <c r="E277" s="14" t="str">
        <f t="shared" si="21"/>
        <v>护理</v>
      </c>
      <c r="F277" s="9" t="str">
        <f>"2018010712"</f>
        <v>2018010712</v>
      </c>
      <c r="G277" s="9">
        <v>38.5</v>
      </c>
      <c r="H277" s="9">
        <v>98</v>
      </c>
      <c r="I277" s="9">
        <f t="shared" si="18"/>
        <v>80.149999999999991</v>
      </c>
      <c r="J277" s="9"/>
      <c r="K277" s="3">
        <v>7</v>
      </c>
      <c r="L277" s="3">
        <v>12</v>
      </c>
    </row>
    <row r="278" spans="1:12" ht="18.75" customHeight="1">
      <c r="A278" s="3" t="str">
        <f>"10522018022721054582413"</f>
        <v>10522018022721054582413</v>
      </c>
      <c r="B278" s="8" t="s">
        <v>18</v>
      </c>
      <c r="C278" s="9" t="str">
        <f t="shared" si="20"/>
        <v>女</v>
      </c>
      <c r="D278" s="9" t="str">
        <f>"34128119971010092X"</f>
        <v>34128119971010092X</v>
      </c>
      <c r="E278" s="14" t="str">
        <f t="shared" si="21"/>
        <v>护理</v>
      </c>
      <c r="F278" s="9" t="str">
        <f>"2018012019"</f>
        <v>2018012019</v>
      </c>
      <c r="G278" s="9">
        <v>50</v>
      </c>
      <c r="H278" s="9">
        <v>93</v>
      </c>
      <c r="I278" s="9">
        <f t="shared" si="18"/>
        <v>80.099999999999994</v>
      </c>
      <c r="J278" s="9"/>
      <c r="K278" s="3">
        <v>20</v>
      </c>
      <c r="L278" s="3">
        <v>19</v>
      </c>
    </row>
    <row r="279" spans="1:12" ht="18.75" customHeight="1">
      <c r="A279" s="3" t="str">
        <f>"10522018022612584981823"</f>
        <v>10522018022612584981823</v>
      </c>
      <c r="B279" s="8" t="s">
        <v>18</v>
      </c>
      <c r="C279" s="9" t="str">
        <f t="shared" si="20"/>
        <v>女</v>
      </c>
      <c r="D279" s="9" t="str">
        <f>"341621199303192922"</f>
        <v>341621199303192922</v>
      </c>
      <c r="E279" s="14" t="str">
        <f t="shared" si="21"/>
        <v>护理</v>
      </c>
      <c r="F279" s="9" t="str">
        <f>"2018011505"</f>
        <v>2018011505</v>
      </c>
      <c r="G279" s="9">
        <v>54.5</v>
      </c>
      <c r="H279" s="9">
        <v>91</v>
      </c>
      <c r="I279" s="9">
        <f t="shared" si="18"/>
        <v>80.05</v>
      </c>
      <c r="J279" s="9"/>
      <c r="K279" s="3">
        <v>15</v>
      </c>
      <c r="L279" s="3">
        <v>5</v>
      </c>
    </row>
    <row r="280" spans="1:12" ht="18.75" customHeight="1">
      <c r="A280" s="3" t="str">
        <f>"10522018030116164482951"</f>
        <v>10522018030116164482951</v>
      </c>
      <c r="B280" s="8" t="s">
        <v>18</v>
      </c>
      <c r="C280" s="9" t="str">
        <f t="shared" si="20"/>
        <v>女</v>
      </c>
      <c r="D280" s="9" t="str">
        <f>"341621199405011328"</f>
        <v>341621199405011328</v>
      </c>
      <c r="E280" s="14" t="str">
        <f t="shared" si="21"/>
        <v>护理</v>
      </c>
      <c r="F280" s="9" t="str">
        <f>"2018011114"</f>
        <v>2018011114</v>
      </c>
      <c r="G280" s="9">
        <v>42.5</v>
      </c>
      <c r="H280" s="9">
        <v>96</v>
      </c>
      <c r="I280" s="9">
        <f t="shared" si="18"/>
        <v>79.949999999999989</v>
      </c>
      <c r="J280" s="9"/>
      <c r="K280" s="3">
        <v>11</v>
      </c>
      <c r="L280" s="3">
        <v>14</v>
      </c>
    </row>
    <row r="281" spans="1:12" ht="18.75" customHeight="1">
      <c r="A281" s="3" t="str">
        <f>"10522018022821512382755"</f>
        <v>10522018022821512382755</v>
      </c>
      <c r="B281" s="8" t="s">
        <v>18</v>
      </c>
      <c r="C281" s="9" t="str">
        <f t="shared" si="20"/>
        <v>女</v>
      </c>
      <c r="D281" s="9" t="str">
        <f>"341621199406252940"</f>
        <v>341621199406252940</v>
      </c>
      <c r="E281" s="14" t="str">
        <f t="shared" si="21"/>
        <v>护理</v>
      </c>
      <c r="F281" s="9" t="str">
        <f>"2018011615"</f>
        <v>2018011615</v>
      </c>
      <c r="G281" s="9">
        <v>42.5</v>
      </c>
      <c r="H281" s="9">
        <v>96</v>
      </c>
      <c r="I281" s="9">
        <f t="shared" si="18"/>
        <v>79.949999999999989</v>
      </c>
      <c r="J281" s="9"/>
      <c r="K281" s="3">
        <v>16</v>
      </c>
      <c r="L281" s="3">
        <v>15</v>
      </c>
    </row>
    <row r="282" spans="1:12" ht="18.75" customHeight="1">
      <c r="A282" s="3" t="str">
        <f>"10522018022816544682656"</f>
        <v>10522018022816544682656</v>
      </c>
      <c r="B282" s="8" t="s">
        <v>18</v>
      </c>
      <c r="C282" s="9" t="str">
        <f t="shared" si="20"/>
        <v>女</v>
      </c>
      <c r="D282" s="9" t="str">
        <f>"341623199509010728"</f>
        <v>341623199509010728</v>
      </c>
      <c r="E282" s="14" t="str">
        <f t="shared" si="21"/>
        <v>护理</v>
      </c>
      <c r="F282" s="9" t="str">
        <f>"2018011118"</f>
        <v>2018011118</v>
      </c>
      <c r="G282" s="9">
        <v>47</v>
      </c>
      <c r="H282" s="9">
        <v>94</v>
      </c>
      <c r="I282" s="9">
        <f t="shared" si="18"/>
        <v>79.899999999999991</v>
      </c>
      <c r="J282" s="9"/>
      <c r="K282" s="3">
        <v>11</v>
      </c>
      <c r="L282" s="3">
        <v>18</v>
      </c>
    </row>
    <row r="283" spans="1:12" ht="18.75" customHeight="1">
      <c r="A283" s="3" t="str">
        <f>"10522018022820151882725"</f>
        <v>10522018022820151882725</v>
      </c>
      <c r="B283" s="8" t="s">
        <v>18</v>
      </c>
      <c r="C283" s="9" t="str">
        <f t="shared" si="20"/>
        <v>女</v>
      </c>
      <c r="D283" s="9" t="str">
        <f>"341281199704280020"</f>
        <v>341281199704280020</v>
      </c>
      <c r="E283" s="14" t="str">
        <f t="shared" si="21"/>
        <v>护理</v>
      </c>
      <c r="F283" s="9" t="str">
        <f>"2018010924"</f>
        <v>2018010924</v>
      </c>
      <c r="G283" s="9">
        <v>49</v>
      </c>
      <c r="H283" s="9">
        <v>93</v>
      </c>
      <c r="I283" s="9">
        <f t="shared" si="18"/>
        <v>79.8</v>
      </c>
      <c r="J283" s="9"/>
      <c r="K283" s="3">
        <v>9</v>
      </c>
      <c r="L283" s="3">
        <v>24</v>
      </c>
    </row>
    <row r="284" spans="1:12" ht="18.75" customHeight="1">
      <c r="A284" s="3" t="str">
        <f>"10522018022612235081789"</f>
        <v>10522018022612235081789</v>
      </c>
      <c r="B284" s="8" t="s">
        <v>18</v>
      </c>
      <c r="C284" s="9" t="str">
        <f t="shared" si="20"/>
        <v>女</v>
      </c>
      <c r="D284" s="9" t="str">
        <f>"341227199508080023"</f>
        <v>341227199508080023</v>
      </c>
      <c r="E284" s="14" t="str">
        <f t="shared" si="21"/>
        <v>护理</v>
      </c>
      <c r="F284" s="9" t="str">
        <f>"2018011308"</f>
        <v>2018011308</v>
      </c>
      <c r="G284" s="9">
        <v>42</v>
      </c>
      <c r="H284" s="9">
        <v>96</v>
      </c>
      <c r="I284" s="9">
        <f t="shared" si="18"/>
        <v>79.799999999999983</v>
      </c>
      <c r="J284" s="9"/>
      <c r="K284" s="3">
        <v>13</v>
      </c>
      <c r="L284" s="3">
        <v>8</v>
      </c>
    </row>
    <row r="285" spans="1:12" ht="18.75" customHeight="1">
      <c r="A285" s="3" t="str">
        <f>"10522018022716474382308"</f>
        <v>10522018022716474382308</v>
      </c>
      <c r="B285" s="8" t="s">
        <v>18</v>
      </c>
      <c r="C285" s="9" t="str">
        <f t="shared" si="20"/>
        <v>女</v>
      </c>
      <c r="D285" s="9" t="str">
        <f>"341223199408022541"</f>
        <v>341223199408022541</v>
      </c>
      <c r="E285" s="14" t="str">
        <f t="shared" si="21"/>
        <v>护理</v>
      </c>
      <c r="F285" s="9" t="str">
        <f>"2018011617"</f>
        <v>2018011617</v>
      </c>
      <c r="G285" s="9">
        <v>44</v>
      </c>
      <c r="H285" s="9">
        <v>95</v>
      </c>
      <c r="I285" s="9">
        <f t="shared" si="18"/>
        <v>79.7</v>
      </c>
      <c r="J285" s="9"/>
      <c r="K285" s="3">
        <v>16</v>
      </c>
      <c r="L285" s="3">
        <v>17</v>
      </c>
    </row>
    <row r="286" spans="1:12" ht="18.75" customHeight="1">
      <c r="A286" s="3" t="str">
        <f>"10522018022719231682362"</f>
        <v>10522018022719231682362</v>
      </c>
      <c r="B286" s="8" t="s">
        <v>18</v>
      </c>
      <c r="C286" s="9" t="str">
        <f t="shared" si="20"/>
        <v>女</v>
      </c>
      <c r="D286" s="9" t="str">
        <f>"341227199603018340"</f>
        <v>341227199603018340</v>
      </c>
      <c r="E286" s="14" t="str">
        <f t="shared" si="21"/>
        <v>护理</v>
      </c>
      <c r="F286" s="9" t="str">
        <f>"2018011923"</f>
        <v>2018011923</v>
      </c>
      <c r="G286" s="9">
        <v>29.5</v>
      </c>
      <c r="H286" s="9">
        <v>101</v>
      </c>
      <c r="I286" s="9">
        <f t="shared" si="18"/>
        <v>79.549999999999983</v>
      </c>
      <c r="J286" s="9"/>
      <c r="K286" s="3">
        <v>19</v>
      </c>
      <c r="L286" s="3">
        <v>23</v>
      </c>
    </row>
    <row r="287" spans="1:12" ht="18.75" customHeight="1">
      <c r="A287" s="3" t="str">
        <f>"10522018022609331081616"</f>
        <v>10522018022609331081616</v>
      </c>
      <c r="B287" s="8" t="s">
        <v>18</v>
      </c>
      <c r="C287" s="9" t="str">
        <f t="shared" si="20"/>
        <v>女</v>
      </c>
      <c r="D287" s="9" t="str">
        <f>"341621199505025129"</f>
        <v>341621199505025129</v>
      </c>
      <c r="E287" s="14" t="str">
        <f t="shared" si="21"/>
        <v>护理</v>
      </c>
      <c r="F287" s="9" t="str">
        <f>"2018011519"</f>
        <v>2018011519</v>
      </c>
      <c r="G287" s="9">
        <v>41</v>
      </c>
      <c r="H287" s="9">
        <v>96</v>
      </c>
      <c r="I287" s="9">
        <f t="shared" si="18"/>
        <v>79.499999999999986</v>
      </c>
      <c r="J287" s="9"/>
      <c r="K287" s="3">
        <v>15</v>
      </c>
      <c r="L287" s="3">
        <v>19</v>
      </c>
    </row>
    <row r="288" spans="1:12" ht="18.75" customHeight="1">
      <c r="A288" s="3" t="str">
        <f>"10522018022609023281560"</f>
        <v>10522018022609023281560</v>
      </c>
      <c r="B288" s="8" t="s">
        <v>18</v>
      </c>
      <c r="C288" s="9" t="str">
        <f t="shared" si="20"/>
        <v>女</v>
      </c>
      <c r="D288" s="9" t="str">
        <f>"34122319960321192X"</f>
        <v>34122319960321192X</v>
      </c>
      <c r="E288" s="14" t="str">
        <f t="shared" si="21"/>
        <v>护理</v>
      </c>
      <c r="F288" s="9" t="str">
        <f>"2018011518"</f>
        <v>2018011518</v>
      </c>
      <c r="G288" s="9">
        <v>45.5</v>
      </c>
      <c r="H288" s="9">
        <v>94</v>
      </c>
      <c r="I288" s="9">
        <f t="shared" si="18"/>
        <v>79.45</v>
      </c>
      <c r="J288" s="9"/>
      <c r="K288" s="3">
        <v>15</v>
      </c>
      <c r="L288" s="3">
        <v>18</v>
      </c>
    </row>
    <row r="289" spans="1:12" ht="18.75" customHeight="1">
      <c r="A289" s="3" t="str">
        <f>"10522018030113302182894"</f>
        <v>10522018030113302182894</v>
      </c>
      <c r="B289" s="8" t="s">
        <v>18</v>
      </c>
      <c r="C289" s="9" t="str">
        <f t="shared" si="20"/>
        <v>女</v>
      </c>
      <c r="D289" s="9" t="str">
        <f>"34122719950306872X"</f>
        <v>34122719950306872X</v>
      </c>
      <c r="E289" s="14" t="str">
        <f t="shared" si="21"/>
        <v>护理</v>
      </c>
      <c r="F289" s="9" t="str">
        <f>"2018012205"</f>
        <v>2018012205</v>
      </c>
      <c r="G289" s="9">
        <v>31.5</v>
      </c>
      <c r="H289" s="9">
        <v>100</v>
      </c>
      <c r="I289" s="9">
        <f t="shared" si="18"/>
        <v>79.45</v>
      </c>
      <c r="J289" s="9"/>
      <c r="K289" s="3">
        <v>22</v>
      </c>
      <c r="L289" s="3">
        <v>5</v>
      </c>
    </row>
    <row r="290" spans="1:12" ht="18.75" customHeight="1">
      <c r="A290" s="3" t="str">
        <f>"10522018022617124481978"</f>
        <v>10522018022617124481978</v>
      </c>
      <c r="B290" s="8" t="s">
        <v>18</v>
      </c>
      <c r="C290" s="9" t="str">
        <f t="shared" si="20"/>
        <v>女</v>
      </c>
      <c r="D290" s="9" t="str">
        <f>"341602199608221027"</f>
        <v>341602199608221027</v>
      </c>
      <c r="E290" s="14" t="str">
        <f t="shared" si="21"/>
        <v>护理</v>
      </c>
      <c r="F290" s="9" t="str">
        <f>"2018011316"</f>
        <v>2018011316</v>
      </c>
      <c r="G290" s="9">
        <v>45</v>
      </c>
      <c r="H290" s="9">
        <v>94</v>
      </c>
      <c r="I290" s="9">
        <f t="shared" si="18"/>
        <v>79.3</v>
      </c>
      <c r="J290" s="9"/>
      <c r="K290" s="3">
        <v>13</v>
      </c>
      <c r="L290" s="3">
        <v>16</v>
      </c>
    </row>
    <row r="291" spans="1:12" ht="18.75" customHeight="1">
      <c r="A291" s="3" t="str">
        <f>"10522018022820514982734"</f>
        <v>10522018022820514982734</v>
      </c>
      <c r="B291" s="8" t="s">
        <v>18</v>
      </c>
      <c r="C291" s="9" t="str">
        <f t="shared" si="20"/>
        <v>女</v>
      </c>
      <c r="D291" s="9" t="str">
        <f>"341223199409223329"</f>
        <v>341223199409223329</v>
      </c>
      <c r="E291" s="14" t="str">
        <f t="shared" si="21"/>
        <v>护理</v>
      </c>
      <c r="F291" s="9" t="str">
        <f>"2018011805"</f>
        <v>2018011805</v>
      </c>
      <c r="G291" s="9">
        <v>42</v>
      </c>
      <c r="H291" s="9">
        <v>95</v>
      </c>
      <c r="I291" s="9">
        <f t="shared" si="18"/>
        <v>79.099999999999994</v>
      </c>
      <c r="J291" s="9"/>
      <c r="K291" s="3">
        <v>18</v>
      </c>
      <c r="L291" s="3">
        <v>5</v>
      </c>
    </row>
    <row r="292" spans="1:12" ht="18.75" customHeight="1">
      <c r="A292" s="3" t="str">
        <f>"10522018022610423881703"</f>
        <v>10522018022610423881703</v>
      </c>
      <c r="B292" s="8" t="s">
        <v>18</v>
      </c>
      <c r="C292" s="9" t="str">
        <f t="shared" si="20"/>
        <v>女</v>
      </c>
      <c r="D292" s="9" t="str">
        <f>"341226199506191049"</f>
        <v>341226199506191049</v>
      </c>
      <c r="E292" s="14" t="str">
        <f t="shared" si="21"/>
        <v>护理</v>
      </c>
      <c r="F292" s="9" t="str">
        <f>"2018011907"</f>
        <v>2018011907</v>
      </c>
      <c r="G292" s="9">
        <v>32.5</v>
      </c>
      <c r="H292" s="9">
        <v>99</v>
      </c>
      <c r="I292" s="9">
        <f t="shared" si="18"/>
        <v>79.05</v>
      </c>
      <c r="J292" s="9"/>
      <c r="K292" s="3">
        <v>19</v>
      </c>
      <c r="L292" s="3">
        <v>7</v>
      </c>
    </row>
    <row r="293" spans="1:12" ht="18.75" customHeight="1">
      <c r="A293" s="3" t="str">
        <f>"10522018022714521182269"</f>
        <v>10522018022714521182269</v>
      </c>
      <c r="B293" s="8" t="s">
        <v>18</v>
      </c>
      <c r="C293" s="9" t="str">
        <f t="shared" si="20"/>
        <v>女</v>
      </c>
      <c r="D293" s="9" t="str">
        <f>"341223199601010067"</f>
        <v>341223199601010067</v>
      </c>
      <c r="E293" s="14" t="str">
        <f t="shared" si="21"/>
        <v>护理</v>
      </c>
      <c r="F293" s="9" t="str">
        <f>"2018011624"</f>
        <v>2018011624</v>
      </c>
      <c r="G293" s="9">
        <v>58</v>
      </c>
      <c r="H293" s="9">
        <v>88</v>
      </c>
      <c r="I293" s="9">
        <f t="shared" si="18"/>
        <v>79</v>
      </c>
      <c r="J293" s="9"/>
      <c r="K293" s="3">
        <v>16</v>
      </c>
      <c r="L293" s="3">
        <v>24</v>
      </c>
    </row>
    <row r="294" spans="1:12" ht="18.75" customHeight="1">
      <c r="A294" s="3" t="str">
        <f>"10522018030109272982807"</f>
        <v>10522018030109272982807</v>
      </c>
      <c r="B294" s="8" t="s">
        <v>18</v>
      </c>
      <c r="C294" s="9" t="str">
        <f t="shared" si="20"/>
        <v>女</v>
      </c>
      <c r="D294" s="9" t="str">
        <f>"341621199501154740"</f>
        <v>341621199501154740</v>
      </c>
      <c r="E294" s="14" t="str">
        <f t="shared" si="21"/>
        <v>护理</v>
      </c>
      <c r="F294" s="9" t="str">
        <f>"2018011319"</f>
        <v>2018011319</v>
      </c>
      <c r="G294" s="9">
        <v>55.5</v>
      </c>
      <c r="H294" s="9">
        <v>89</v>
      </c>
      <c r="I294" s="9">
        <f t="shared" si="18"/>
        <v>78.949999999999989</v>
      </c>
      <c r="J294" s="9"/>
      <c r="K294" s="3">
        <v>13</v>
      </c>
      <c r="L294" s="3">
        <v>19</v>
      </c>
    </row>
    <row r="295" spans="1:12" ht="18.75" customHeight="1">
      <c r="A295" s="3" t="str">
        <f>"10522018022813450482601"</f>
        <v>10522018022813450482601</v>
      </c>
      <c r="B295" s="8" t="s">
        <v>18</v>
      </c>
      <c r="C295" s="9" t="str">
        <f t="shared" si="20"/>
        <v>女</v>
      </c>
      <c r="D295" s="9" t="str">
        <f>"341621199601162764"</f>
        <v>341621199601162764</v>
      </c>
      <c r="E295" s="14" t="str">
        <f t="shared" si="21"/>
        <v>护理</v>
      </c>
      <c r="F295" s="9" t="str">
        <f>"2018011810"</f>
        <v>2018011810</v>
      </c>
      <c r="G295" s="9">
        <v>55.5</v>
      </c>
      <c r="H295" s="9">
        <v>89</v>
      </c>
      <c r="I295" s="9">
        <f t="shared" si="18"/>
        <v>78.949999999999989</v>
      </c>
      <c r="J295" s="9"/>
      <c r="K295" s="3">
        <v>18</v>
      </c>
      <c r="L295" s="3">
        <v>10</v>
      </c>
    </row>
    <row r="296" spans="1:12" ht="18.75" customHeight="1">
      <c r="A296" s="3" t="str">
        <f>"10522018022620531782075"</f>
        <v>10522018022620531782075</v>
      </c>
      <c r="B296" s="8" t="s">
        <v>18</v>
      </c>
      <c r="C296" s="9" t="str">
        <f t="shared" si="20"/>
        <v>女</v>
      </c>
      <c r="D296" s="9" t="str">
        <f>"341223199601231927"</f>
        <v>341223199601231927</v>
      </c>
      <c r="E296" s="14" t="str">
        <f t="shared" si="21"/>
        <v>护理</v>
      </c>
      <c r="F296" s="9" t="str">
        <f>"2018011206"</f>
        <v>2018011206</v>
      </c>
      <c r="G296" s="9">
        <v>32</v>
      </c>
      <c r="H296" s="9">
        <v>99</v>
      </c>
      <c r="I296" s="9">
        <f t="shared" si="18"/>
        <v>78.899999999999991</v>
      </c>
      <c r="J296" s="9"/>
      <c r="K296" s="3">
        <v>12</v>
      </c>
      <c r="L296" s="3">
        <v>6</v>
      </c>
    </row>
    <row r="297" spans="1:12" ht="18.75" customHeight="1">
      <c r="A297" s="3" t="str">
        <f>"10522018022620521782073"</f>
        <v>10522018022620521782073</v>
      </c>
      <c r="B297" s="8" t="s">
        <v>18</v>
      </c>
      <c r="C297" s="9" t="str">
        <f t="shared" si="20"/>
        <v>女</v>
      </c>
      <c r="D297" s="9" t="str">
        <f>"341227199305065640"</f>
        <v>341227199305065640</v>
      </c>
      <c r="E297" s="14" t="str">
        <f t="shared" si="21"/>
        <v>护理</v>
      </c>
      <c r="F297" s="9" t="str">
        <f>"2018011713"</f>
        <v>2018011713</v>
      </c>
      <c r="G297" s="9">
        <v>39</v>
      </c>
      <c r="H297" s="9">
        <v>96</v>
      </c>
      <c r="I297" s="9">
        <f t="shared" si="18"/>
        <v>78.899999999999991</v>
      </c>
      <c r="J297" s="9"/>
      <c r="K297" s="3">
        <v>17</v>
      </c>
      <c r="L297" s="3">
        <v>13</v>
      </c>
    </row>
    <row r="298" spans="1:12" ht="18.75" customHeight="1">
      <c r="A298" s="3" t="str">
        <f>"10522018022709254082145"</f>
        <v>10522018022709254082145</v>
      </c>
      <c r="B298" s="8" t="s">
        <v>18</v>
      </c>
      <c r="C298" s="9" t="str">
        <f t="shared" si="20"/>
        <v>女</v>
      </c>
      <c r="D298" s="9" t="str">
        <f>"34162319960703482X"</f>
        <v>34162319960703482X</v>
      </c>
      <c r="E298" s="14" t="str">
        <f t="shared" si="21"/>
        <v>护理</v>
      </c>
      <c r="F298" s="9" t="str">
        <f>"2018011817"</f>
        <v>2018011817</v>
      </c>
      <c r="G298" s="9">
        <v>36.5</v>
      </c>
      <c r="H298" s="9">
        <v>97</v>
      </c>
      <c r="I298" s="9">
        <f t="shared" si="18"/>
        <v>78.849999999999994</v>
      </c>
      <c r="J298" s="9"/>
      <c r="K298" s="3">
        <v>18</v>
      </c>
      <c r="L298" s="3">
        <v>17</v>
      </c>
    </row>
    <row r="299" spans="1:12" ht="18.75" customHeight="1">
      <c r="A299" s="3" t="str">
        <f>"10522018022615442381925"</f>
        <v>10522018022615442381925</v>
      </c>
      <c r="B299" s="8" t="s">
        <v>18</v>
      </c>
      <c r="C299" s="9" t="str">
        <f t="shared" si="20"/>
        <v>女</v>
      </c>
      <c r="D299" s="9" t="str">
        <f>"341226199303124487"</f>
        <v>341226199303124487</v>
      </c>
      <c r="E299" s="14" t="str">
        <f t="shared" si="21"/>
        <v>护理</v>
      </c>
      <c r="F299" s="9" t="str">
        <f>"2018011611"</f>
        <v>2018011611</v>
      </c>
      <c r="G299" s="9">
        <v>38.5</v>
      </c>
      <c r="H299" s="9">
        <v>96</v>
      </c>
      <c r="I299" s="9">
        <f t="shared" si="18"/>
        <v>78.749999999999986</v>
      </c>
      <c r="J299" s="9"/>
      <c r="K299" s="3">
        <v>16</v>
      </c>
      <c r="L299" s="3">
        <v>11</v>
      </c>
    </row>
    <row r="300" spans="1:12" ht="18.75" customHeight="1">
      <c r="A300" s="3" t="str">
        <f>"10522018030211272283115"</f>
        <v>10522018030211272283115</v>
      </c>
      <c r="B300" s="8" t="s">
        <v>18</v>
      </c>
      <c r="C300" s="9" t="str">
        <f t="shared" si="20"/>
        <v>女</v>
      </c>
      <c r="D300" s="9" t="str">
        <f>"341225199604166625"</f>
        <v>341225199604166625</v>
      </c>
      <c r="E300" s="14" t="str">
        <f t="shared" si="21"/>
        <v>护理</v>
      </c>
      <c r="F300" s="9" t="str">
        <f>"2018012110"</f>
        <v>2018012110</v>
      </c>
      <c r="G300" s="9">
        <v>29</v>
      </c>
      <c r="H300" s="9">
        <v>100</v>
      </c>
      <c r="I300" s="9">
        <f t="shared" si="18"/>
        <v>78.7</v>
      </c>
      <c r="J300" s="9"/>
      <c r="K300" s="3">
        <v>21</v>
      </c>
      <c r="L300" s="3">
        <v>10</v>
      </c>
    </row>
    <row r="301" spans="1:12" ht="18.75" customHeight="1">
      <c r="A301" s="3" t="str">
        <f>"10522018022821452182753"</f>
        <v>10522018022821452182753</v>
      </c>
      <c r="B301" s="8" t="s">
        <v>18</v>
      </c>
      <c r="C301" s="9" t="str">
        <f t="shared" si="20"/>
        <v>女</v>
      </c>
      <c r="D301" s="9" t="str">
        <f>"341623199303138064"</f>
        <v>341623199303138064</v>
      </c>
      <c r="E301" s="14" t="str">
        <f t="shared" si="21"/>
        <v>护理</v>
      </c>
      <c r="F301" s="9" t="str">
        <f>"2018011514"</f>
        <v>2018011514</v>
      </c>
      <c r="G301" s="9">
        <v>36</v>
      </c>
      <c r="H301" s="9">
        <v>97</v>
      </c>
      <c r="I301" s="9">
        <f t="shared" si="18"/>
        <v>78.699999999999989</v>
      </c>
      <c r="J301" s="9"/>
      <c r="K301" s="3">
        <v>15</v>
      </c>
      <c r="L301" s="3">
        <v>14</v>
      </c>
    </row>
    <row r="302" spans="1:12" ht="18.75" customHeight="1">
      <c r="A302" s="3" t="str">
        <f>"10522018022722505982444"</f>
        <v>10522018022722505982444</v>
      </c>
      <c r="B302" s="8" t="s">
        <v>18</v>
      </c>
      <c r="C302" s="9" t="str">
        <f t="shared" si="20"/>
        <v>女</v>
      </c>
      <c r="D302" s="9" t="str">
        <f>"34222519950908282X"</f>
        <v>34222519950908282X</v>
      </c>
      <c r="E302" s="14" t="str">
        <f t="shared" si="21"/>
        <v>护理</v>
      </c>
      <c r="F302" s="9" t="str">
        <f>"2018011328"</f>
        <v>2018011328</v>
      </c>
      <c r="G302" s="9">
        <v>54.5</v>
      </c>
      <c r="H302" s="9">
        <v>89</v>
      </c>
      <c r="I302" s="9">
        <f t="shared" si="18"/>
        <v>78.649999999999991</v>
      </c>
      <c r="J302" s="9"/>
      <c r="K302" s="3">
        <v>13</v>
      </c>
      <c r="L302" s="3">
        <v>28</v>
      </c>
    </row>
    <row r="303" spans="1:12" ht="18.75" customHeight="1">
      <c r="A303" s="3" t="str">
        <f>"10522018022610343181687"</f>
        <v>10522018022610343181687</v>
      </c>
      <c r="B303" s="8" t="s">
        <v>18</v>
      </c>
      <c r="C303" s="9" t="str">
        <f t="shared" si="20"/>
        <v>女</v>
      </c>
      <c r="D303" s="9" t="str">
        <f>"341621199401094322"</f>
        <v>341621199401094322</v>
      </c>
      <c r="E303" s="14" t="str">
        <f t="shared" ref="E303:E334" si="22">"护理"</f>
        <v>护理</v>
      </c>
      <c r="F303" s="9" t="str">
        <f>"2018011619"</f>
        <v>2018011619</v>
      </c>
      <c r="G303" s="9">
        <v>31</v>
      </c>
      <c r="H303" s="9">
        <v>99</v>
      </c>
      <c r="I303" s="9">
        <f t="shared" si="18"/>
        <v>78.599999999999994</v>
      </c>
      <c r="J303" s="9"/>
      <c r="K303" s="3">
        <v>16</v>
      </c>
      <c r="L303" s="3">
        <v>19</v>
      </c>
    </row>
    <row r="304" spans="1:12" ht="18.75" customHeight="1">
      <c r="A304" s="3" t="str">
        <f>"10522018022623533882116"</f>
        <v>10522018022623533882116</v>
      </c>
      <c r="B304" s="8" t="s">
        <v>18</v>
      </c>
      <c r="C304" s="9" t="str">
        <f t="shared" si="20"/>
        <v>女</v>
      </c>
      <c r="D304" s="9" t="str">
        <f>"341623199612081524"</f>
        <v>341623199612081524</v>
      </c>
      <c r="E304" s="14" t="str">
        <f t="shared" si="22"/>
        <v>护理</v>
      </c>
      <c r="F304" s="9" t="str">
        <f>"2018012006"</f>
        <v>2018012006</v>
      </c>
      <c r="G304" s="9">
        <v>51.5</v>
      </c>
      <c r="H304" s="9">
        <v>90</v>
      </c>
      <c r="I304" s="9">
        <f t="shared" si="18"/>
        <v>78.449999999999989</v>
      </c>
      <c r="J304" s="9"/>
      <c r="K304" s="3">
        <v>20</v>
      </c>
      <c r="L304" s="3">
        <v>6</v>
      </c>
    </row>
    <row r="305" spans="1:12" ht="18.75" customHeight="1">
      <c r="A305" s="3" t="str">
        <f>"10522018022610110181658"</f>
        <v>10522018022610110181658</v>
      </c>
      <c r="B305" s="8" t="s">
        <v>18</v>
      </c>
      <c r="C305" s="9" t="str">
        <f t="shared" si="20"/>
        <v>女</v>
      </c>
      <c r="D305" s="9" t="str">
        <f>"341227199502132646"</f>
        <v>341227199502132646</v>
      </c>
      <c r="E305" s="14" t="str">
        <f t="shared" si="22"/>
        <v>护理</v>
      </c>
      <c r="F305" s="9" t="str">
        <f>"2018010901"</f>
        <v>2018010901</v>
      </c>
      <c r="G305" s="9">
        <v>49</v>
      </c>
      <c r="H305" s="9">
        <v>91</v>
      </c>
      <c r="I305" s="9">
        <f t="shared" si="18"/>
        <v>78.399999999999991</v>
      </c>
      <c r="J305" s="9"/>
      <c r="K305" s="3">
        <v>9</v>
      </c>
      <c r="L305" s="3">
        <v>1</v>
      </c>
    </row>
    <row r="306" spans="1:12" ht="18.75" customHeight="1">
      <c r="A306" s="3" t="str">
        <f>"10522018022710544982187"</f>
        <v>10522018022710544982187</v>
      </c>
      <c r="B306" s="8" t="s">
        <v>18</v>
      </c>
      <c r="C306" s="9" t="str">
        <f t="shared" si="20"/>
        <v>女</v>
      </c>
      <c r="D306" s="9" t="str">
        <f>"341623199504102324"</f>
        <v>341623199504102324</v>
      </c>
      <c r="E306" s="14" t="str">
        <f t="shared" si="22"/>
        <v>护理</v>
      </c>
      <c r="F306" s="9" t="str">
        <f>"2018011915"</f>
        <v>2018011915</v>
      </c>
      <c r="G306" s="9">
        <v>42</v>
      </c>
      <c r="H306" s="9">
        <v>94</v>
      </c>
      <c r="I306" s="9">
        <f t="shared" si="18"/>
        <v>78.399999999999991</v>
      </c>
      <c r="J306" s="9"/>
      <c r="K306" s="3">
        <v>19</v>
      </c>
      <c r="L306" s="3">
        <v>15</v>
      </c>
    </row>
    <row r="307" spans="1:12" ht="18.75" customHeight="1">
      <c r="A307" s="3" t="str">
        <f>"10522018022714243482261"</f>
        <v>10522018022714243482261</v>
      </c>
      <c r="B307" s="8" t="s">
        <v>18</v>
      </c>
      <c r="C307" s="9" t="str">
        <f t="shared" si="20"/>
        <v>女</v>
      </c>
      <c r="D307" s="9" t="str">
        <f>"341623199701257624"</f>
        <v>341623199701257624</v>
      </c>
      <c r="E307" s="14" t="str">
        <f t="shared" si="22"/>
        <v>护理</v>
      </c>
      <c r="F307" s="9" t="str">
        <f>"2018012121"</f>
        <v>2018012121</v>
      </c>
      <c r="G307" s="9">
        <v>39.5</v>
      </c>
      <c r="H307" s="9">
        <v>95</v>
      </c>
      <c r="I307" s="9">
        <f t="shared" si="18"/>
        <v>78.349999999999994</v>
      </c>
      <c r="J307" s="9"/>
      <c r="K307" s="3">
        <v>21</v>
      </c>
      <c r="L307" s="3">
        <v>21</v>
      </c>
    </row>
    <row r="308" spans="1:12" ht="18.75" customHeight="1">
      <c r="A308" s="3" t="str">
        <f>"10522018022812454982567"</f>
        <v>10522018022812454982567</v>
      </c>
      <c r="B308" s="8" t="s">
        <v>18</v>
      </c>
      <c r="C308" s="9" t="str">
        <f t="shared" si="20"/>
        <v>女</v>
      </c>
      <c r="D308" s="9" t="str">
        <f>"341621199707290027"</f>
        <v>341621199707290027</v>
      </c>
      <c r="E308" s="14" t="str">
        <f t="shared" si="22"/>
        <v>护理</v>
      </c>
      <c r="F308" s="9" t="str">
        <f>"2018010730"</f>
        <v>2018010730</v>
      </c>
      <c r="G308" s="9">
        <v>39</v>
      </c>
      <c r="H308" s="9">
        <v>95</v>
      </c>
      <c r="I308" s="9">
        <f t="shared" si="18"/>
        <v>78.2</v>
      </c>
      <c r="J308" s="9"/>
      <c r="K308" s="3">
        <v>7</v>
      </c>
      <c r="L308" s="3">
        <v>30</v>
      </c>
    </row>
    <row r="309" spans="1:12" ht="18.75" customHeight="1">
      <c r="A309" s="3" t="str">
        <f>"10522018022610460781708"</f>
        <v>10522018022610460781708</v>
      </c>
      <c r="B309" s="8" t="s">
        <v>18</v>
      </c>
      <c r="C309" s="9" t="str">
        <f t="shared" si="20"/>
        <v>女</v>
      </c>
      <c r="D309" s="9" t="str">
        <f>"341621199512241524"</f>
        <v>341621199512241524</v>
      </c>
      <c r="E309" s="14" t="str">
        <f t="shared" si="22"/>
        <v>护理</v>
      </c>
      <c r="F309" s="9" t="str">
        <f>"2018010616"</f>
        <v>2018010616</v>
      </c>
      <c r="G309" s="9">
        <v>46</v>
      </c>
      <c r="H309" s="9">
        <v>92</v>
      </c>
      <c r="I309" s="9">
        <f t="shared" si="18"/>
        <v>78.199999999999989</v>
      </c>
      <c r="J309" s="9"/>
      <c r="K309" s="3">
        <v>6</v>
      </c>
      <c r="L309" s="3">
        <v>16</v>
      </c>
    </row>
    <row r="310" spans="1:12" ht="18.75" customHeight="1">
      <c r="A310" s="3" t="str">
        <f>"10522018022718560882342"</f>
        <v>10522018022718560882342</v>
      </c>
      <c r="B310" s="8" t="s">
        <v>18</v>
      </c>
      <c r="C310" s="9" t="str">
        <f t="shared" si="20"/>
        <v>女</v>
      </c>
      <c r="D310" s="9" t="str">
        <f>"341226199708095549"</f>
        <v>341226199708095549</v>
      </c>
      <c r="E310" s="14" t="str">
        <f t="shared" si="22"/>
        <v>护理</v>
      </c>
      <c r="F310" s="9" t="str">
        <f>"2018012111"</f>
        <v>2018012111</v>
      </c>
      <c r="G310" s="9">
        <v>34</v>
      </c>
      <c r="H310" s="9">
        <v>97</v>
      </c>
      <c r="I310" s="9">
        <f t="shared" si="18"/>
        <v>78.099999999999994</v>
      </c>
      <c r="J310" s="9"/>
      <c r="K310" s="3">
        <v>21</v>
      </c>
      <c r="L310" s="3">
        <v>11</v>
      </c>
    </row>
    <row r="311" spans="1:12" ht="18.75" customHeight="1">
      <c r="A311" s="3" t="str">
        <f>"10522018022610285781676"</f>
        <v>10522018022610285781676</v>
      </c>
      <c r="B311" s="8" t="s">
        <v>18</v>
      </c>
      <c r="C311" s="9" t="str">
        <f t="shared" si="20"/>
        <v>女</v>
      </c>
      <c r="D311" s="9" t="str">
        <f>"34122719941117762X"</f>
        <v>34122719941117762X</v>
      </c>
      <c r="E311" s="14" t="str">
        <f t="shared" si="22"/>
        <v>护理</v>
      </c>
      <c r="F311" s="9" t="str">
        <f>"2018010702"</f>
        <v>2018010702</v>
      </c>
      <c r="G311" s="9">
        <v>43</v>
      </c>
      <c r="H311" s="9">
        <v>93</v>
      </c>
      <c r="I311" s="9">
        <f t="shared" si="18"/>
        <v>78</v>
      </c>
      <c r="J311" s="9"/>
      <c r="K311" s="3">
        <v>7</v>
      </c>
      <c r="L311" s="3">
        <v>2</v>
      </c>
    </row>
    <row r="312" spans="1:12" ht="18.75" customHeight="1">
      <c r="A312" s="3" t="str">
        <f>"10522018030115533082937"</f>
        <v>10522018030115533082937</v>
      </c>
      <c r="B312" s="8" t="s">
        <v>18</v>
      </c>
      <c r="C312" s="9" t="str">
        <f t="shared" si="20"/>
        <v>女</v>
      </c>
      <c r="D312" s="9" t="str">
        <f>"341224199405103027"</f>
        <v>341224199405103027</v>
      </c>
      <c r="E312" s="14" t="str">
        <f t="shared" si="22"/>
        <v>护理</v>
      </c>
      <c r="F312" s="9" t="str">
        <f>"2018011802"</f>
        <v>2018011802</v>
      </c>
      <c r="G312" s="9">
        <v>50</v>
      </c>
      <c r="H312" s="9">
        <v>90</v>
      </c>
      <c r="I312" s="9">
        <f t="shared" si="18"/>
        <v>78</v>
      </c>
      <c r="J312" s="9"/>
      <c r="K312" s="3">
        <v>18</v>
      </c>
      <c r="L312" s="3">
        <v>2</v>
      </c>
    </row>
    <row r="313" spans="1:12" ht="18.75" customHeight="1">
      <c r="A313" s="3" t="str">
        <f>"10522018022613593781864"</f>
        <v>10522018022613593781864</v>
      </c>
      <c r="B313" s="8" t="s">
        <v>18</v>
      </c>
      <c r="C313" s="9" t="str">
        <f t="shared" si="20"/>
        <v>女</v>
      </c>
      <c r="D313" s="9" t="str">
        <f>"341227199410109561"</f>
        <v>341227199410109561</v>
      </c>
      <c r="E313" s="14" t="str">
        <f t="shared" si="22"/>
        <v>护理</v>
      </c>
      <c r="F313" s="9" t="str">
        <f>"2018010801"</f>
        <v>2018010801</v>
      </c>
      <c r="G313" s="9">
        <v>33.5</v>
      </c>
      <c r="H313" s="9">
        <v>97</v>
      </c>
      <c r="I313" s="9">
        <f t="shared" si="18"/>
        <v>77.949999999999989</v>
      </c>
      <c r="J313" s="9"/>
      <c r="K313" s="3">
        <v>8</v>
      </c>
      <c r="L313" s="3">
        <v>1</v>
      </c>
    </row>
    <row r="314" spans="1:12" ht="18.75" customHeight="1">
      <c r="A314" s="3" t="str">
        <f>"10522018022613371281851"</f>
        <v>10522018022613371281851</v>
      </c>
      <c r="B314" s="8" t="s">
        <v>18</v>
      </c>
      <c r="C314" s="9" t="str">
        <f t="shared" si="20"/>
        <v>女</v>
      </c>
      <c r="D314" s="9" t="str">
        <f>"341281199703014644"</f>
        <v>341281199703014644</v>
      </c>
      <c r="E314" s="14" t="str">
        <f t="shared" si="22"/>
        <v>护理</v>
      </c>
      <c r="F314" s="9" t="str">
        <f>"2018010913"</f>
        <v>2018010913</v>
      </c>
      <c r="G314" s="9">
        <v>42.5</v>
      </c>
      <c r="H314" s="9">
        <v>93</v>
      </c>
      <c r="I314" s="9">
        <f t="shared" si="18"/>
        <v>77.849999999999994</v>
      </c>
      <c r="J314" s="9"/>
      <c r="K314" s="3">
        <v>9</v>
      </c>
      <c r="L314" s="3">
        <v>13</v>
      </c>
    </row>
    <row r="315" spans="1:12" ht="18.75" customHeight="1">
      <c r="A315" s="3" t="str">
        <f>"10522018022712001482207"</f>
        <v>10522018022712001482207</v>
      </c>
      <c r="B315" s="8" t="s">
        <v>18</v>
      </c>
      <c r="C315" s="9" t="str">
        <f t="shared" si="20"/>
        <v>女</v>
      </c>
      <c r="D315" s="9" t="str">
        <f>"341227199401082344"</f>
        <v>341227199401082344</v>
      </c>
      <c r="E315" s="14" t="str">
        <f t="shared" si="22"/>
        <v>护理</v>
      </c>
      <c r="F315" s="9" t="str">
        <f>"2018011212"</f>
        <v>2018011212</v>
      </c>
      <c r="G315" s="9">
        <v>30.5</v>
      </c>
      <c r="H315" s="9">
        <v>98</v>
      </c>
      <c r="I315" s="9">
        <f t="shared" si="18"/>
        <v>77.75</v>
      </c>
      <c r="J315" s="9"/>
      <c r="K315" s="3">
        <v>12</v>
      </c>
      <c r="L315" s="3">
        <v>12</v>
      </c>
    </row>
    <row r="316" spans="1:12" ht="18.75" customHeight="1">
      <c r="A316" s="3" t="str">
        <f>"10522018030208461283074"</f>
        <v>10522018030208461283074</v>
      </c>
      <c r="B316" s="8" t="s">
        <v>18</v>
      </c>
      <c r="C316" s="9" t="str">
        <f t="shared" si="20"/>
        <v>女</v>
      </c>
      <c r="D316" s="9" t="str">
        <f>"341221199409094640"</f>
        <v>341221199409094640</v>
      </c>
      <c r="E316" s="14" t="str">
        <f t="shared" si="22"/>
        <v>护理</v>
      </c>
      <c r="F316" s="9" t="str">
        <f>"2018011901"</f>
        <v>2018011901</v>
      </c>
      <c r="G316" s="9">
        <v>44.5</v>
      </c>
      <c r="H316" s="9">
        <v>92</v>
      </c>
      <c r="I316" s="9">
        <f t="shared" si="18"/>
        <v>77.749999999999986</v>
      </c>
      <c r="J316" s="9"/>
      <c r="K316" s="3">
        <v>19</v>
      </c>
      <c r="L316" s="3">
        <v>1</v>
      </c>
    </row>
    <row r="317" spans="1:12" ht="18.75" customHeight="1">
      <c r="A317" s="3" t="str">
        <f>"10522018022611564181774"</f>
        <v>10522018022611564181774</v>
      </c>
      <c r="B317" s="8" t="s">
        <v>18</v>
      </c>
      <c r="C317" s="9" t="str">
        <f t="shared" si="20"/>
        <v>女</v>
      </c>
      <c r="D317" s="9" t="str">
        <f>"341621199703133729"</f>
        <v>341621199703133729</v>
      </c>
      <c r="E317" s="14" t="str">
        <f t="shared" si="22"/>
        <v>护理</v>
      </c>
      <c r="F317" s="9" t="str">
        <f>"2018011919"</f>
        <v>2018011919</v>
      </c>
      <c r="G317" s="9">
        <v>28</v>
      </c>
      <c r="H317" s="9">
        <v>99</v>
      </c>
      <c r="I317" s="9">
        <f t="shared" si="18"/>
        <v>77.7</v>
      </c>
      <c r="J317" s="9"/>
      <c r="K317" s="3">
        <v>19</v>
      </c>
      <c r="L317" s="3">
        <v>19</v>
      </c>
    </row>
    <row r="318" spans="1:12" ht="18.75" customHeight="1">
      <c r="A318" s="3" t="str">
        <f>"10522018022613211081835"</f>
        <v>10522018022613211081835</v>
      </c>
      <c r="B318" s="8" t="s">
        <v>18</v>
      </c>
      <c r="C318" s="9" t="str">
        <f t="shared" si="20"/>
        <v>女</v>
      </c>
      <c r="D318" s="9" t="str">
        <f>"341623199911011542"</f>
        <v>341623199911011542</v>
      </c>
      <c r="E318" s="14" t="str">
        <f t="shared" si="22"/>
        <v>护理</v>
      </c>
      <c r="F318" s="9" t="str">
        <f>"2018011723"</f>
        <v>2018011723</v>
      </c>
      <c r="G318" s="9">
        <v>46</v>
      </c>
      <c r="H318" s="9">
        <v>91</v>
      </c>
      <c r="I318" s="9">
        <f t="shared" si="18"/>
        <v>77.5</v>
      </c>
      <c r="J318" s="9"/>
      <c r="K318" s="3">
        <v>17</v>
      </c>
      <c r="L318" s="3">
        <v>23</v>
      </c>
    </row>
    <row r="319" spans="1:12" ht="18.75" customHeight="1">
      <c r="A319" s="3" t="str">
        <f>"10522018022609351881618"</f>
        <v>10522018022609351881618</v>
      </c>
      <c r="B319" s="8" t="s">
        <v>18</v>
      </c>
      <c r="C319" s="9" t="str">
        <f t="shared" si="20"/>
        <v>女</v>
      </c>
      <c r="D319" s="9" t="str">
        <f>"341623199610235622"</f>
        <v>341623199610235622</v>
      </c>
      <c r="E319" s="14" t="str">
        <f t="shared" si="22"/>
        <v>护理</v>
      </c>
      <c r="F319" s="9" t="str">
        <f>"2018011127"</f>
        <v>2018011127</v>
      </c>
      <c r="G319" s="9">
        <v>29.5</v>
      </c>
      <c r="H319" s="9">
        <v>98</v>
      </c>
      <c r="I319" s="9">
        <f t="shared" si="18"/>
        <v>77.449999999999989</v>
      </c>
      <c r="J319" s="9"/>
      <c r="K319" s="3">
        <v>11</v>
      </c>
      <c r="L319" s="3">
        <v>27</v>
      </c>
    </row>
    <row r="320" spans="1:12" ht="18.75" customHeight="1">
      <c r="A320" s="3" t="str">
        <f>"10522018022617050481973"</f>
        <v>10522018022617050481973</v>
      </c>
      <c r="B320" s="8" t="s">
        <v>18</v>
      </c>
      <c r="C320" s="9" t="str">
        <f t="shared" si="20"/>
        <v>女</v>
      </c>
      <c r="D320" s="9" t="str">
        <f>"341623199604035640"</f>
        <v>341623199604035640</v>
      </c>
      <c r="E320" s="14" t="str">
        <f t="shared" si="22"/>
        <v>护理</v>
      </c>
      <c r="F320" s="9" t="str">
        <f>"2018010810"</f>
        <v>2018010810</v>
      </c>
      <c r="G320" s="9">
        <v>52.5</v>
      </c>
      <c r="H320" s="9">
        <v>88</v>
      </c>
      <c r="I320" s="9">
        <f t="shared" si="18"/>
        <v>77.349999999999994</v>
      </c>
      <c r="J320" s="9"/>
      <c r="K320" s="3">
        <v>8</v>
      </c>
      <c r="L320" s="3">
        <v>10</v>
      </c>
    </row>
    <row r="321" spans="1:12" ht="18.75" customHeight="1">
      <c r="A321" s="3" t="str">
        <f>"10522018022610435581705"</f>
        <v>10522018022610435581705</v>
      </c>
      <c r="B321" s="8" t="s">
        <v>18</v>
      </c>
      <c r="C321" s="9" t="str">
        <f t="shared" si="20"/>
        <v>女</v>
      </c>
      <c r="D321" s="9" t="str">
        <f>"341281199502027203"</f>
        <v>341281199502027203</v>
      </c>
      <c r="E321" s="14" t="str">
        <f t="shared" si="22"/>
        <v>护理</v>
      </c>
      <c r="F321" s="9" t="str">
        <f>"2018011011"</f>
        <v>2018011011</v>
      </c>
      <c r="G321" s="9">
        <v>31.5</v>
      </c>
      <c r="H321" s="9">
        <v>97</v>
      </c>
      <c r="I321" s="9">
        <f t="shared" si="18"/>
        <v>77.349999999999994</v>
      </c>
      <c r="J321" s="9"/>
      <c r="K321" s="3">
        <v>10</v>
      </c>
      <c r="L321" s="3">
        <v>11</v>
      </c>
    </row>
    <row r="322" spans="1:12" ht="18.75" customHeight="1">
      <c r="A322" s="3" t="str">
        <f>"10522018022808551482472"</f>
        <v>10522018022808551482472</v>
      </c>
      <c r="B322" s="8" t="s">
        <v>18</v>
      </c>
      <c r="C322" s="9" t="str">
        <f t="shared" si="20"/>
        <v>女</v>
      </c>
      <c r="D322" s="9" t="str">
        <f>"34122319970415192X"</f>
        <v>34122319970415192X</v>
      </c>
      <c r="E322" s="14" t="str">
        <f t="shared" si="22"/>
        <v>护理</v>
      </c>
      <c r="F322" s="9" t="str">
        <f>"2018010905"</f>
        <v>2018010905</v>
      </c>
      <c r="G322" s="9">
        <v>47.5</v>
      </c>
      <c r="H322" s="9">
        <v>90</v>
      </c>
      <c r="I322" s="9">
        <f t="shared" si="18"/>
        <v>77.25</v>
      </c>
      <c r="J322" s="9"/>
      <c r="K322" s="3">
        <v>9</v>
      </c>
      <c r="L322" s="3">
        <v>5</v>
      </c>
    </row>
    <row r="323" spans="1:12" ht="18.75" customHeight="1">
      <c r="A323" s="3" t="str">
        <f>"10522018022617470281994"</f>
        <v>10522018022617470281994</v>
      </c>
      <c r="B323" s="8" t="s">
        <v>18</v>
      </c>
      <c r="C323" s="9" t="str">
        <f t="shared" si="20"/>
        <v>女</v>
      </c>
      <c r="D323" s="9" t="str">
        <f>"341223199705133125"</f>
        <v>341223199705133125</v>
      </c>
      <c r="E323" s="14" t="str">
        <f t="shared" si="22"/>
        <v>护理</v>
      </c>
      <c r="F323" s="9" t="str">
        <f>"2018010908"</f>
        <v>2018010908</v>
      </c>
      <c r="G323" s="9">
        <v>40.5</v>
      </c>
      <c r="H323" s="9">
        <v>93</v>
      </c>
      <c r="I323" s="9">
        <f t="shared" ref="I323:I386" si="23">G323*0.3+H323*0.7</f>
        <v>77.25</v>
      </c>
      <c r="J323" s="9"/>
      <c r="K323" s="3">
        <v>9</v>
      </c>
      <c r="L323" s="3">
        <v>8</v>
      </c>
    </row>
    <row r="324" spans="1:12" ht="18.75" customHeight="1">
      <c r="A324" s="3" t="str">
        <f>"10522018022811451182549"</f>
        <v>10522018022811451182549</v>
      </c>
      <c r="B324" s="8" t="s">
        <v>18</v>
      </c>
      <c r="C324" s="9" t="str">
        <f t="shared" si="20"/>
        <v>女</v>
      </c>
      <c r="D324" s="9" t="str">
        <f>"341204199402011287"</f>
        <v>341204199402011287</v>
      </c>
      <c r="E324" s="14" t="str">
        <f t="shared" si="22"/>
        <v>护理</v>
      </c>
      <c r="F324" s="9" t="str">
        <f>"2018011729"</f>
        <v>2018011729</v>
      </c>
      <c r="G324" s="9">
        <v>38</v>
      </c>
      <c r="H324" s="9">
        <v>94</v>
      </c>
      <c r="I324" s="9">
        <f t="shared" si="23"/>
        <v>77.2</v>
      </c>
      <c r="J324" s="9"/>
      <c r="K324" s="3">
        <v>17</v>
      </c>
      <c r="L324" s="3">
        <v>29</v>
      </c>
    </row>
    <row r="325" spans="1:12" ht="18.75" customHeight="1">
      <c r="A325" s="3" t="str">
        <f>"10522018030117584482980"</f>
        <v>10522018030117584482980</v>
      </c>
      <c r="B325" s="8" t="s">
        <v>18</v>
      </c>
      <c r="C325" s="9" t="str">
        <f t="shared" si="20"/>
        <v>女</v>
      </c>
      <c r="D325" s="9" t="str">
        <f>"341623199703130723"</f>
        <v>341623199703130723</v>
      </c>
      <c r="E325" s="14" t="str">
        <f t="shared" si="22"/>
        <v>护理</v>
      </c>
      <c r="F325" s="9" t="str">
        <f>"2018011102"</f>
        <v>2018011102</v>
      </c>
      <c r="G325" s="9">
        <v>31</v>
      </c>
      <c r="H325" s="9">
        <v>97</v>
      </c>
      <c r="I325" s="9">
        <f t="shared" si="23"/>
        <v>77.199999999999989</v>
      </c>
      <c r="J325" s="9"/>
      <c r="K325" s="3">
        <v>11</v>
      </c>
      <c r="L325" s="3">
        <v>2</v>
      </c>
    </row>
    <row r="326" spans="1:12" ht="18.75" customHeight="1">
      <c r="A326" s="3" t="str">
        <f>"10522018022810413282518"</f>
        <v>10522018022810413282518</v>
      </c>
      <c r="B326" s="8" t="s">
        <v>18</v>
      </c>
      <c r="C326" s="9" t="str">
        <f t="shared" si="20"/>
        <v>女</v>
      </c>
      <c r="D326" s="9" t="str">
        <f>"341226199609102002"</f>
        <v>341226199609102002</v>
      </c>
      <c r="E326" s="14" t="str">
        <f t="shared" si="22"/>
        <v>护理</v>
      </c>
      <c r="F326" s="9" t="str">
        <f>"2018012013"</f>
        <v>2018012013</v>
      </c>
      <c r="G326" s="9">
        <v>45</v>
      </c>
      <c r="H326" s="9">
        <v>91</v>
      </c>
      <c r="I326" s="9">
        <f t="shared" si="23"/>
        <v>77.199999999999989</v>
      </c>
      <c r="J326" s="9"/>
      <c r="K326" s="3">
        <v>20</v>
      </c>
      <c r="L326" s="3">
        <v>13</v>
      </c>
    </row>
    <row r="327" spans="1:12" ht="18.75" customHeight="1">
      <c r="A327" s="3" t="str">
        <f>"10522018022818093482679"</f>
        <v>10522018022818093482679</v>
      </c>
      <c r="B327" s="8" t="s">
        <v>18</v>
      </c>
      <c r="C327" s="9" t="str">
        <f t="shared" si="20"/>
        <v>女</v>
      </c>
      <c r="D327" s="9" t="str">
        <f>"341227199606118320"</f>
        <v>341227199606118320</v>
      </c>
      <c r="E327" s="14" t="str">
        <f t="shared" si="22"/>
        <v>护理</v>
      </c>
      <c r="F327" s="9" t="str">
        <f>"2018011504"</f>
        <v>2018011504</v>
      </c>
      <c r="G327" s="9">
        <v>35.5</v>
      </c>
      <c r="H327" s="9">
        <v>95</v>
      </c>
      <c r="I327" s="9">
        <f t="shared" si="23"/>
        <v>77.150000000000006</v>
      </c>
      <c r="J327" s="9"/>
      <c r="K327" s="3">
        <v>15</v>
      </c>
      <c r="L327" s="3">
        <v>4</v>
      </c>
    </row>
    <row r="328" spans="1:12" ht="18.75" customHeight="1">
      <c r="A328" s="3" t="str">
        <f>"10522018022811393882544"</f>
        <v>10522018022811393882544</v>
      </c>
      <c r="B328" s="8" t="s">
        <v>18</v>
      </c>
      <c r="C328" s="9" t="str">
        <f t="shared" si="20"/>
        <v>女</v>
      </c>
      <c r="D328" s="9" t="str">
        <f>"341623199811018341"</f>
        <v>341623199811018341</v>
      </c>
      <c r="E328" s="14" t="str">
        <f t="shared" si="22"/>
        <v>护理</v>
      </c>
      <c r="F328" s="9" t="str">
        <f>"2018010720"</f>
        <v>2018010720</v>
      </c>
      <c r="G328" s="9">
        <v>58.5</v>
      </c>
      <c r="H328" s="9">
        <v>85</v>
      </c>
      <c r="I328" s="9">
        <f t="shared" si="23"/>
        <v>77.05</v>
      </c>
      <c r="J328" s="9"/>
      <c r="K328" s="3">
        <v>7</v>
      </c>
      <c r="L328" s="3">
        <v>20</v>
      </c>
    </row>
    <row r="329" spans="1:12" ht="18.75" customHeight="1">
      <c r="A329" s="3" t="str">
        <f>"10522018022815445782639"</f>
        <v>10522018022815445782639</v>
      </c>
      <c r="B329" s="8" t="s">
        <v>18</v>
      </c>
      <c r="C329" s="9" t="str">
        <f t="shared" si="20"/>
        <v>女</v>
      </c>
      <c r="D329" s="9" t="str">
        <f>"341602199605082447"</f>
        <v>341602199605082447</v>
      </c>
      <c r="E329" s="14" t="str">
        <f t="shared" si="22"/>
        <v>护理</v>
      </c>
      <c r="F329" s="9" t="str">
        <f>"2018011420"</f>
        <v>2018011420</v>
      </c>
      <c r="G329" s="9">
        <v>42</v>
      </c>
      <c r="H329" s="9">
        <v>92</v>
      </c>
      <c r="I329" s="9">
        <f t="shared" si="23"/>
        <v>76.999999999999986</v>
      </c>
      <c r="J329" s="9"/>
      <c r="K329" s="3">
        <v>14</v>
      </c>
      <c r="L329" s="3">
        <v>20</v>
      </c>
    </row>
    <row r="330" spans="1:12" ht="18.75" customHeight="1">
      <c r="A330" s="3" t="str">
        <f>"10522018022612162081783"</f>
        <v>10522018022612162081783</v>
      </c>
      <c r="B330" s="8" t="s">
        <v>18</v>
      </c>
      <c r="C330" s="9" t="str">
        <f t="shared" ref="C330:C393" si="24">"女"</f>
        <v>女</v>
      </c>
      <c r="D330" s="9" t="str">
        <f>"341223199502200324"</f>
        <v>341223199502200324</v>
      </c>
      <c r="E330" s="14" t="str">
        <f t="shared" si="22"/>
        <v>护理</v>
      </c>
      <c r="F330" s="9" t="str">
        <f>"2018011321"</f>
        <v>2018011321</v>
      </c>
      <c r="G330" s="9">
        <v>39.5</v>
      </c>
      <c r="H330" s="9">
        <v>93</v>
      </c>
      <c r="I330" s="9">
        <f t="shared" si="23"/>
        <v>76.949999999999989</v>
      </c>
      <c r="J330" s="9"/>
      <c r="K330" s="3">
        <v>13</v>
      </c>
      <c r="L330" s="3">
        <v>21</v>
      </c>
    </row>
    <row r="331" spans="1:12" ht="18.75" customHeight="1">
      <c r="A331" s="3" t="str">
        <f>"10522018022615155181910"</f>
        <v>10522018022615155181910</v>
      </c>
      <c r="B331" s="8" t="s">
        <v>18</v>
      </c>
      <c r="C331" s="9" t="str">
        <f t="shared" si="24"/>
        <v>女</v>
      </c>
      <c r="D331" s="9" t="str">
        <f>"34122719970210106X"</f>
        <v>34122719970210106X</v>
      </c>
      <c r="E331" s="14" t="str">
        <f t="shared" si="22"/>
        <v>护理</v>
      </c>
      <c r="F331" s="9" t="str">
        <f>"2018011807"</f>
        <v>2018011807</v>
      </c>
      <c r="G331" s="9">
        <v>39.5</v>
      </c>
      <c r="H331" s="9">
        <v>93</v>
      </c>
      <c r="I331" s="9">
        <f t="shared" si="23"/>
        <v>76.949999999999989</v>
      </c>
      <c r="J331" s="9"/>
      <c r="K331" s="3">
        <v>18</v>
      </c>
      <c r="L331" s="3">
        <v>7</v>
      </c>
    </row>
    <row r="332" spans="1:12" ht="18.75" customHeight="1">
      <c r="A332" s="3" t="str">
        <f>"10522018022623425082115"</f>
        <v>10522018022623425082115</v>
      </c>
      <c r="B332" s="8" t="s">
        <v>18</v>
      </c>
      <c r="C332" s="9" t="str">
        <f t="shared" si="24"/>
        <v>女</v>
      </c>
      <c r="D332" s="9" t="str">
        <f>"341227199505259562"</f>
        <v>341227199505259562</v>
      </c>
      <c r="E332" s="14" t="str">
        <f t="shared" si="22"/>
        <v>护理</v>
      </c>
      <c r="F332" s="9" t="str">
        <f>"2018010722"</f>
        <v>2018010722</v>
      </c>
      <c r="G332" s="9">
        <v>44</v>
      </c>
      <c r="H332" s="9">
        <v>91</v>
      </c>
      <c r="I332" s="9">
        <f t="shared" si="23"/>
        <v>76.899999999999991</v>
      </c>
      <c r="J332" s="9"/>
      <c r="K332" s="3">
        <v>7</v>
      </c>
      <c r="L332" s="3">
        <v>22</v>
      </c>
    </row>
    <row r="333" spans="1:12" ht="18.75" customHeight="1">
      <c r="A333" s="3" t="str">
        <f>"10522018022812174582559"</f>
        <v>10522018022812174582559</v>
      </c>
      <c r="B333" s="8" t="s">
        <v>18</v>
      </c>
      <c r="C333" s="9" t="str">
        <f t="shared" si="24"/>
        <v>女</v>
      </c>
      <c r="D333" s="9" t="str">
        <f>"341223199404152146"</f>
        <v>341223199404152146</v>
      </c>
      <c r="E333" s="14" t="str">
        <f t="shared" si="22"/>
        <v>护理</v>
      </c>
      <c r="F333" s="9" t="str">
        <f>"2018011610"</f>
        <v>2018011610</v>
      </c>
      <c r="G333" s="9">
        <v>58</v>
      </c>
      <c r="H333" s="9">
        <v>85</v>
      </c>
      <c r="I333" s="9">
        <f t="shared" si="23"/>
        <v>76.899999999999991</v>
      </c>
      <c r="J333" s="9"/>
      <c r="K333" s="3">
        <v>16</v>
      </c>
      <c r="L333" s="3">
        <v>10</v>
      </c>
    </row>
    <row r="334" spans="1:12" ht="18.75" customHeight="1">
      <c r="A334" s="3" t="str">
        <f>"10522018022612221181787"</f>
        <v>10522018022612221181787</v>
      </c>
      <c r="B334" s="8" t="s">
        <v>18</v>
      </c>
      <c r="C334" s="9" t="str">
        <f t="shared" si="24"/>
        <v>女</v>
      </c>
      <c r="D334" s="9" t="str">
        <f>"341223199306222729"</f>
        <v>341223199306222729</v>
      </c>
      <c r="E334" s="14" t="str">
        <f t="shared" si="22"/>
        <v>护理</v>
      </c>
      <c r="F334" s="9" t="str">
        <f>"2018010525"</f>
        <v>2018010525</v>
      </c>
      <c r="G334" s="9">
        <v>53</v>
      </c>
      <c r="H334" s="9">
        <v>87</v>
      </c>
      <c r="I334" s="9">
        <f t="shared" si="23"/>
        <v>76.8</v>
      </c>
      <c r="J334" s="9"/>
      <c r="K334" s="3">
        <v>5</v>
      </c>
      <c r="L334" s="3">
        <v>25</v>
      </c>
    </row>
    <row r="335" spans="1:12" ht="18.75" customHeight="1">
      <c r="A335" s="3" t="str">
        <f>"10522018030215382983191"</f>
        <v>10522018030215382983191</v>
      </c>
      <c r="B335" s="8" t="s">
        <v>18</v>
      </c>
      <c r="C335" s="9" t="str">
        <f t="shared" si="24"/>
        <v>女</v>
      </c>
      <c r="D335" s="9" t="str">
        <f>"341227199810040022"</f>
        <v>341227199810040022</v>
      </c>
      <c r="E335" s="14" t="str">
        <f t="shared" ref="E335:E367" si="25">"护理"</f>
        <v>护理</v>
      </c>
      <c r="F335" s="9" t="str">
        <f>"2018012018"</f>
        <v>2018012018</v>
      </c>
      <c r="G335" s="9">
        <v>39</v>
      </c>
      <c r="H335" s="9">
        <v>93</v>
      </c>
      <c r="I335" s="9">
        <f t="shared" si="23"/>
        <v>76.8</v>
      </c>
      <c r="J335" s="9"/>
      <c r="K335" s="3">
        <v>20</v>
      </c>
      <c r="L335" s="3">
        <v>18</v>
      </c>
    </row>
    <row r="336" spans="1:12" ht="18.75" customHeight="1">
      <c r="A336" s="3" t="str">
        <f>"10522018022721445782430"</f>
        <v>10522018022721445782430</v>
      </c>
      <c r="B336" s="8" t="s">
        <v>18</v>
      </c>
      <c r="C336" s="9" t="str">
        <f t="shared" si="24"/>
        <v>女</v>
      </c>
      <c r="D336" s="9" t="str">
        <f>"341623199512215628"</f>
        <v>341623199512215628</v>
      </c>
      <c r="E336" s="14" t="str">
        <f t="shared" si="25"/>
        <v>护理</v>
      </c>
      <c r="F336" s="9" t="str">
        <f>"2018010909"</f>
        <v>2018010909</v>
      </c>
      <c r="G336" s="9">
        <v>36.5</v>
      </c>
      <c r="H336" s="9">
        <v>94</v>
      </c>
      <c r="I336" s="9">
        <f t="shared" si="23"/>
        <v>76.75</v>
      </c>
      <c r="J336" s="9"/>
      <c r="K336" s="3">
        <v>9</v>
      </c>
      <c r="L336" s="3">
        <v>9</v>
      </c>
    </row>
    <row r="337" spans="1:12" ht="18.75" customHeight="1">
      <c r="A337" s="3" t="str">
        <f>"10522018022713294082235"</f>
        <v>10522018022713294082235</v>
      </c>
      <c r="B337" s="8" t="s">
        <v>18</v>
      </c>
      <c r="C337" s="9" t="str">
        <f t="shared" si="24"/>
        <v>女</v>
      </c>
      <c r="D337" s="9" t="str">
        <f>"341602199507132826"</f>
        <v>341602199507132826</v>
      </c>
      <c r="E337" s="14" t="str">
        <f t="shared" si="25"/>
        <v>护理</v>
      </c>
      <c r="F337" s="9" t="str">
        <f>"2018010915"</f>
        <v>2018010915</v>
      </c>
      <c r="G337" s="9">
        <v>33</v>
      </c>
      <c r="H337" s="9">
        <v>95.5</v>
      </c>
      <c r="I337" s="9">
        <f t="shared" si="23"/>
        <v>76.75</v>
      </c>
      <c r="J337" s="9"/>
      <c r="K337" s="3">
        <v>9</v>
      </c>
      <c r="L337" s="3">
        <v>15</v>
      </c>
    </row>
    <row r="338" spans="1:12" ht="18.75" customHeight="1">
      <c r="A338" s="3" t="str">
        <f>"10522018030111555182856"</f>
        <v>10522018030111555182856</v>
      </c>
      <c r="B338" s="8" t="s">
        <v>18</v>
      </c>
      <c r="C338" s="9" t="str">
        <f t="shared" si="24"/>
        <v>女</v>
      </c>
      <c r="D338" s="9" t="str">
        <f>"341623199812145625"</f>
        <v>341623199812145625</v>
      </c>
      <c r="E338" s="14" t="str">
        <f t="shared" si="25"/>
        <v>护理</v>
      </c>
      <c r="F338" s="9" t="str">
        <f>"2018011721"</f>
        <v>2018011721</v>
      </c>
      <c r="G338" s="9">
        <v>36.5</v>
      </c>
      <c r="H338" s="9">
        <v>94</v>
      </c>
      <c r="I338" s="9">
        <f t="shared" si="23"/>
        <v>76.75</v>
      </c>
      <c r="J338" s="9"/>
      <c r="K338" s="3">
        <v>17</v>
      </c>
      <c r="L338" s="3">
        <v>21</v>
      </c>
    </row>
    <row r="339" spans="1:12" ht="18.75" customHeight="1">
      <c r="A339" s="3" t="str">
        <f>"10522018022609015881557"</f>
        <v>10522018022609015881557</v>
      </c>
      <c r="B339" s="8" t="s">
        <v>18</v>
      </c>
      <c r="C339" s="9" t="str">
        <f t="shared" si="24"/>
        <v>女</v>
      </c>
      <c r="D339" s="9" t="str">
        <f>"341223199509280742"</f>
        <v>341223199509280742</v>
      </c>
      <c r="E339" s="14" t="str">
        <f t="shared" si="25"/>
        <v>护理</v>
      </c>
      <c r="F339" s="9" t="str">
        <f>"2018011513"</f>
        <v>2018011513</v>
      </c>
      <c r="G339" s="9">
        <v>31.5</v>
      </c>
      <c r="H339" s="9">
        <v>96</v>
      </c>
      <c r="I339" s="9">
        <f t="shared" si="23"/>
        <v>76.649999999999991</v>
      </c>
      <c r="J339" s="9"/>
      <c r="K339" s="3">
        <v>15</v>
      </c>
      <c r="L339" s="3">
        <v>13</v>
      </c>
    </row>
    <row r="340" spans="1:12" ht="18.75" customHeight="1">
      <c r="A340" s="3" t="str">
        <f>"10522018022713420582239"</f>
        <v>10522018022713420582239</v>
      </c>
      <c r="B340" s="8" t="s">
        <v>18</v>
      </c>
      <c r="C340" s="9" t="str">
        <f t="shared" si="24"/>
        <v>女</v>
      </c>
      <c r="D340" s="9" t="str">
        <f>"341223199507072923"</f>
        <v>341223199507072923</v>
      </c>
      <c r="E340" s="14" t="str">
        <f t="shared" si="25"/>
        <v>护理</v>
      </c>
      <c r="F340" s="9" t="str">
        <f>"2018010608"</f>
        <v>2018010608</v>
      </c>
      <c r="G340" s="9">
        <v>50</v>
      </c>
      <c r="H340" s="9">
        <v>88</v>
      </c>
      <c r="I340" s="9">
        <f t="shared" si="23"/>
        <v>76.599999999999994</v>
      </c>
      <c r="J340" s="9"/>
      <c r="K340" s="3">
        <v>6</v>
      </c>
      <c r="L340" s="3">
        <v>8</v>
      </c>
    </row>
    <row r="341" spans="1:12" ht="18.75" customHeight="1">
      <c r="A341" s="3" t="str">
        <f>"10522018022610323781684"</f>
        <v>10522018022610323781684</v>
      </c>
      <c r="B341" s="8" t="s">
        <v>18</v>
      </c>
      <c r="C341" s="9" t="str">
        <f t="shared" si="24"/>
        <v>女</v>
      </c>
      <c r="D341" s="9" t="str">
        <f>"341622199305010244"</f>
        <v>341622199305010244</v>
      </c>
      <c r="E341" s="14" t="str">
        <f t="shared" si="25"/>
        <v>护理</v>
      </c>
      <c r="F341" s="9" t="str">
        <f>"2018012028"</f>
        <v>2018012028</v>
      </c>
      <c r="G341" s="9">
        <v>43</v>
      </c>
      <c r="H341" s="9">
        <v>91</v>
      </c>
      <c r="I341" s="9">
        <f t="shared" si="23"/>
        <v>76.599999999999994</v>
      </c>
      <c r="J341" s="9"/>
      <c r="K341" s="3">
        <v>20</v>
      </c>
      <c r="L341" s="3">
        <v>28</v>
      </c>
    </row>
    <row r="342" spans="1:12" ht="18.75" customHeight="1">
      <c r="A342" s="3" t="str">
        <f>"10522018022810515582528"</f>
        <v>10522018022810515582528</v>
      </c>
      <c r="B342" s="8" t="s">
        <v>18</v>
      </c>
      <c r="C342" s="9" t="str">
        <f t="shared" si="24"/>
        <v>女</v>
      </c>
      <c r="D342" s="9" t="str">
        <f>"341223199607153122"</f>
        <v>341223199607153122</v>
      </c>
      <c r="E342" s="14" t="str">
        <f t="shared" si="25"/>
        <v>护理</v>
      </c>
      <c r="F342" s="9" t="str">
        <f>"2018011526"</f>
        <v>2018011526</v>
      </c>
      <c r="G342" s="9">
        <v>31</v>
      </c>
      <c r="H342" s="9">
        <v>96</v>
      </c>
      <c r="I342" s="9">
        <f t="shared" si="23"/>
        <v>76.499999999999986</v>
      </c>
      <c r="J342" s="9"/>
      <c r="K342" s="3">
        <v>15</v>
      </c>
      <c r="L342" s="3">
        <v>26</v>
      </c>
    </row>
    <row r="343" spans="1:12" ht="18.75" customHeight="1">
      <c r="A343" s="3" t="str">
        <f>"10522018022711445782200"</f>
        <v>10522018022711445782200</v>
      </c>
      <c r="B343" s="8" t="s">
        <v>18</v>
      </c>
      <c r="C343" s="9" t="str">
        <f t="shared" si="24"/>
        <v>女</v>
      </c>
      <c r="D343" s="9" t="str">
        <f>"341223199603112323"</f>
        <v>341223199603112323</v>
      </c>
      <c r="E343" s="14" t="str">
        <f t="shared" si="25"/>
        <v>护理</v>
      </c>
      <c r="F343" s="9" t="str">
        <f>"2018010526"</f>
        <v>2018010526</v>
      </c>
      <c r="G343" s="9">
        <v>47</v>
      </c>
      <c r="H343" s="9">
        <v>89</v>
      </c>
      <c r="I343" s="9">
        <f t="shared" si="23"/>
        <v>76.399999999999991</v>
      </c>
      <c r="J343" s="9"/>
      <c r="K343" s="3">
        <v>5</v>
      </c>
      <c r="L343" s="3">
        <v>26</v>
      </c>
    </row>
    <row r="344" spans="1:12" ht="18.75" customHeight="1">
      <c r="A344" s="3" t="str">
        <f>"10522018022718443282333"</f>
        <v>10522018022718443282333</v>
      </c>
      <c r="B344" s="8" t="s">
        <v>18</v>
      </c>
      <c r="C344" s="9" t="str">
        <f t="shared" si="24"/>
        <v>女</v>
      </c>
      <c r="D344" s="9" t="str">
        <f>"341202199610033525"</f>
        <v>341202199610033525</v>
      </c>
      <c r="E344" s="14" t="str">
        <f t="shared" si="25"/>
        <v>护理</v>
      </c>
      <c r="F344" s="9" t="str">
        <f>"2018010714"</f>
        <v>2018010714</v>
      </c>
      <c r="G344" s="9">
        <v>40</v>
      </c>
      <c r="H344" s="9">
        <v>92</v>
      </c>
      <c r="I344" s="9">
        <f t="shared" si="23"/>
        <v>76.399999999999991</v>
      </c>
      <c r="J344" s="9"/>
      <c r="K344" s="3">
        <v>7</v>
      </c>
      <c r="L344" s="3">
        <v>14</v>
      </c>
    </row>
    <row r="345" spans="1:12" ht="18.75" customHeight="1">
      <c r="A345" s="3" t="str">
        <f>"10522018022613242781841"</f>
        <v>10522018022613242781841</v>
      </c>
      <c r="B345" s="8" t="s">
        <v>18</v>
      </c>
      <c r="C345" s="9" t="str">
        <f t="shared" si="24"/>
        <v>女</v>
      </c>
      <c r="D345" s="9" t="str">
        <f>"341623199605051546"</f>
        <v>341623199605051546</v>
      </c>
      <c r="E345" s="14" t="str">
        <f t="shared" si="25"/>
        <v>护理</v>
      </c>
      <c r="F345" s="9" t="str">
        <f>"2018011925"</f>
        <v>2018011925</v>
      </c>
      <c r="G345" s="9">
        <v>36.5</v>
      </c>
      <c r="H345" s="9">
        <v>93</v>
      </c>
      <c r="I345" s="9">
        <f t="shared" si="23"/>
        <v>76.05</v>
      </c>
      <c r="J345" s="9"/>
      <c r="K345" s="3">
        <v>19</v>
      </c>
      <c r="L345" s="3">
        <v>25</v>
      </c>
    </row>
    <row r="346" spans="1:12" ht="18.75" customHeight="1">
      <c r="A346" s="3" t="str">
        <f>"10522018022616094281944"</f>
        <v>10522018022616094281944</v>
      </c>
      <c r="B346" s="8" t="s">
        <v>18</v>
      </c>
      <c r="C346" s="9" t="str">
        <f t="shared" si="24"/>
        <v>女</v>
      </c>
      <c r="D346" s="9" t="str">
        <f>"341621199305235148"</f>
        <v>341621199305235148</v>
      </c>
      <c r="E346" s="14" t="str">
        <f t="shared" si="25"/>
        <v>护理</v>
      </c>
      <c r="F346" s="9" t="str">
        <f>"2018011225"</f>
        <v>2018011225</v>
      </c>
      <c r="G346" s="9">
        <v>34</v>
      </c>
      <c r="H346" s="9">
        <v>94</v>
      </c>
      <c r="I346" s="9">
        <f t="shared" si="23"/>
        <v>76</v>
      </c>
      <c r="J346" s="9"/>
      <c r="K346" s="3">
        <v>12</v>
      </c>
      <c r="L346" s="3">
        <v>25</v>
      </c>
    </row>
    <row r="347" spans="1:12" ht="18.75" customHeight="1">
      <c r="A347" s="3" t="str">
        <f>"10522018030117030882968"</f>
        <v>10522018030117030882968</v>
      </c>
      <c r="B347" s="8" t="s">
        <v>18</v>
      </c>
      <c r="C347" s="9" t="str">
        <f t="shared" si="24"/>
        <v>女</v>
      </c>
      <c r="D347" s="9" t="str">
        <f>"341221199301047842"</f>
        <v>341221199301047842</v>
      </c>
      <c r="E347" s="14" t="str">
        <f t="shared" si="25"/>
        <v>护理</v>
      </c>
      <c r="F347" s="9" t="str">
        <f>"2018011506"</f>
        <v>2018011506</v>
      </c>
      <c r="G347" s="9">
        <v>43</v>
      </c>
      <c r="H347" s="9">
        <v>90</v>
      </c>
      <c r="I347" s="9">
        <f t="shared" si="23"/>
        <v>75.899999999999991</v>
      </c>
      <c r="J347" s="9"/>
      <c r="K347" s="3">
        <v>15</v>
      </c>
      <c r="L347" s="3">
        <v>6</v>
      </c>
    </row>
    <row r="348" spans="1:12" ht="18.75" customHeight="1">
      <c r="A348" s="3" t="str">
        <f>"10522018022714264482263"</f>
        <v>10522018022714264482263</v>
      </c>
      <c r="B348" s="8" t="s">
        <v>18</v>
      </c>
      <c r="C348" s="9" t="str">
        <f t="shared" si="24"/>
        <v>女</v>
      </c>
      <c r="D348" s="9" t="str">
        <f>"341622199408064923"</f>
        <v>341622199408064923</v>
      </c>
      <c r="E348" s="14" t="str">
        <f t="shared" si="25"/>
        <v>护理</v>
      </c>
      <c r="F348" s="9" t="str">
        <f>"2018010822"</f>
        <v>2018010822</v>
      </c>
      <c r="G348" s="9">
        <v>52</v>
      </c>
      <c r="H348" s="9">
        <v>86</v>
      </c>
      <c r="I348" s="9">
        <f t="shared" si="23"/>
        <v>75.8</v>
      </c>
      <c r="J348" s="9"/>
      <c r="K348" s="3">
        <v>8</v>
      </c>
      <c r="L348" s="3">
        <v>22</v>
      </c>
    </row>
    <row r="349" spans="1:12" ht="18.75" customHeight="1">
      <c r="A349" s="3" t="str">
        <f>"10522018022720370382400"</f>
        <v>10522018022720370382400</v>
      </c>
      <c r="B349" s="8" t="s">
        <v>18</v>
      </c>
      <c r="C349" s="9" t="str">
        <f t="shared" si="24"/>
        <v>女</v>
      </c>
      <c r="D349" s="9" t="str">
        <f>"34122619931011050X"</f>
        <v>34122619931011050X</v>
      </c>
      <c r="E349" s="14" t="str">
        <f t="shared" si="25"/>
        <v>护理</v>
      </c>
      <c r="F349" s="9" t="str">
        <f>"2018011411"</f>
        <v>2018011411</v>
      </c>
      <c r="G349" s="9">
        <v>42.5</v>
      </c>
      <c r="H349" s="9">
        <v>90</v>
      </c>
      <c r="I349" s="9">
        <f t="shared" si="23"/>
        <v>75.75</v>
      </c>
      <c r="J349" s="9"/>
      <c r="K349" s="3">
        <v>14</v>
      </c>
      <c r="L349" s="3">
        <v>11</v>
      </c>
    </row>
    <row r="350" spans="1:12" ht="18.75" customHeight="1">
      <c r="A350" s="3" t="str">
        <f>"10522018022814323082617"</f>
        <v>10522018022814323082617</v>
      </c>
      <c r="B350" s="8" t="s">
        <v>18</v>
      </c>
      <c r="C350" s="9" t="str">
        <f t="shared" si="24"/>
        <v>女</v>
      </c>
      <c r="D350" s="9" t="str">
        <f>"341621199610064728"</f>
        <v>341621199610064728</v>
      </c>
      <c r="E350" s="14" t="str">
        <f t="shared" si="25"/>
        <v>护理</v>
      </c>
      <c r="F350" s="9" t="str">
        <f>"2018010907"</f>
        <v>2018010907</v>
      </c>
      <c r="G350" s="9">
        <v>26</v>
      </c>
      <c r="H350" s="9">
        <v>97</v>
      </c>
      <c r="I350" s="9">
        <f t="shared" si="23"/>
        <v>75.699999999999989</v>
      </c>
      <c r="J350" s="9"/>
      <c r="K350" s="3">
        <v>9</v>
      </c>
      <c r="L350" s="3">
        <v>7</v>
      </c>
    </row>
    <row r="351" spans="1:12" ht="18.75" customHeight="1">
      <c r="A351" s="3" t="str">
        <f>"10522018022610301881680"</f>
        <v>10522018022610301881680</v>
      </c>
      <c r="B351" s="8" t="s">
        <v>18</v>
      </c>
      <c r="C351" s="9" t="str">
        <f t="shared" si="24"/>
        <v>女</v>
      </c>
      <c r="D351" s="9" t="str">
        <f>"341204199709291623"</f>
        <v>341204199709291623</v>
      </c>
      <c r="E351" s="14" t="str">
        <f t="shared" si="25"/>
        <v>护理</v>
      </c>
      <c r="F351" s="9" t="str">
        <f>"2018010922"</f>
        <v>2018010922</v>
      </c>
      <c r="G351" s="9">
        <v>26</v>
      </c>
      <c r="H351" s="9">
        <v>97</v>
      </c>
      <c r="I351" s="9">
        <f t="shared" si="23"/>
        <v>75.699999999999989</v>
      </c>
      <c r="J351" s="9"/>
      <c r="K351" s="3">
        <v>9</v>
      </c>
      <c r="L351" s="3">
        <v>22</v>
      </c>
    </row>
    <row r="352" spans="1:12" ht="18.75" customHeight="1">
      <c r="A352" s="3" t="str">
        <f>"10522018022713065082227"</f>
        <v>10522018022713065082227</v>
      </c>
      <c r="B352" s="8" t="s">
        <v>18</v>
      </c>
      <c r="C352" s="9" t="str">
        <f t="shared" si="24"/>
        <v>女</v>
      </c>
      <c r="D352" s="9" t="str">
        <f>"341623199810289043"</f>
        <v>341623199810289043</v>
      </c>
      <c r="E352" s="14" t="str">
        <f t="shared" si="25"/>
        <v>护理</v>
      </c>
      <c r="F352" s="9" t="str">
        <f>"2018011009"</f>
        <v>2018011009</v>
      </c>
      <c r="G352" s="9">
        <v>44.5</v>
      </c>
      <c r="H352" s="9">
        <v>89</v>
      </c>
      <c r="I352" s="9">
        <f t="shared" si="23"/>
        <v>75.649999999999991</v>
      </c>
      <c r="J352" s="9"/>
      <c r="K352" s="3">
        <v>10</v>
      </c>
      <c r="L352" s="3">
        <v>9</v>
      </c>
    </row>
    <row r="353" spans="1:12" ht="18.75" customHeight="1">
      <c r="A353" s="3" t="str">
        <f>"10522018022615342781920"</f>
        <v>10522018022615342781920</v>
      </c>
      <c r="B353" s="8" t="s">
        <v>18</v>
      </c>
      <c r="C353" s="9" t="str">
        <f t="shared" si="24"/>
        <v>女</v>
      </c>
      <c r="D353" s="9" t="str">
        <f>"341622199706062125"</f>
        <v>341622199706062125</v>
      </c>
      <c r="E353" s="14" t="str">
        <f t="shared" si="25"/>
        <v>护理</v>
      </c>
      <c r="F353" s="9" t="str">
        <f>"2018011215"</f>
        <v>2018011215</v>
      </c>
      <c r="G353" s="9">
        <v>44.5</v>
      </c>
      <c r="H353" s="9">
        <v>89</v>
      </c>
      <c r="I353" s="9">
        <f t="shared" si="23"/>
        <v>75.649999999999991</v>
      </c>
      <c r="J353" s="9"/>
      <c r="K353" s="3">
        <v>12</v>
      </c>
      <c r="L353" s="3">
        <v>15</v>
      </c>
    </row>
    <row r="354" spans="1:12" ht="18.75" customHeight="1">
      <c r="A354" s="3" t="str">
        <f>"10522018022811452582550"</f>
        <v>10522018022811452582550</v>
      </c>
      <c r="B354" s="8" t="s">
        <v>18</v>
      </c>
      <c r="C354" s="9" t="str">
        <f t="shared" si="24"/>
        <v>女</v>
      </c>
      <c r="D354" s="9" t="str">
        <f>"341202199507191322"</f>
        <v>341202199507191322</v>
      </c>
      <c r="E354" s="14" t="str">
        <f t="shared" si="25"/>
        <v>护理</v>
      </c>
      <c r="F354" s="9" t="str">
        <f>"2018011214"</f>
        <v>2018011214</v>
      </c>
      <c r="G354" s="9">
        <v>39.5</v>
      </c>
      <c r="H354" s="9">
        <v>91</v>
      </c>
      <c r="I354" s="9">
        <f t="shared" si="23"/>
        <v>75.55</v>
      </c>
      <c r="J354" s="9"/>
      <c r="K354" s="3">
        <v>12</v>
      </c>
      <c r="L354" s="3">
        <v>14</v>
      </c>
    </row>
    <row r="355" spans="1:12" ht="18.75" customHeight="1">
      <c r="A355" s="3" t="str">
        <f>"10522018022620095082048"</f>
        <v>10522018022620095082048</v>
      </c>
      <c r="B355" s="8" t="s">
        <v>18</v>
      </c>
      <c r="C355" s="9" t="str">
        <f t="shared" si="24"/>
        <v>女</v>
      </c>
      <c r="D355" s="9" t="str">
        <f>"34162319930107372X"</f>
        <v>34162319930107372X</v>
      </c>
      <c r="E355" s="14" t="str">
        <f t="shared" si="25"/>
        <v>护理</v>
      </c>
      <c r="F355" s="9" t="str">
        <f>"2018011904"</f>
        <v>2018011904</v>
      </c>
      <c r="G355" s="9">
        <v>36</v>
      </c>
      <c r="H355" s="9">
        <v>92.5</v>
      </c>
      <c r="I355" s="9">
        <f t="shared" si="23"/>
        <v>75.55</v>
      </c>
      <c r="J355" s="9"/>
      <c r="K355" s="3">
        <v>19</v>
      </c>
      <c r="L355" s="3">
        <v>4</v>
      </c>
    </row>
    <row r="356" spans="1:12" ht="18.75" customHeight="1">
      <c r="A356" s="3" t="str">
        <f>"10522018030112363082869"</f>
        <v>10522018030112363082869</v>
      </c>
      <c r="B356" s="8" t="s">
        <v>18</v>
      </c>
      <c r="C356" s="9" t="str">
        <f t="shared" si="24"/>
        <v>女</v>
      </c>
      <c r="D356" s="9" t="str">
        <f>"341621199312153124"</f>
        <v>341621199312153124</v>
      </c>
      <c r="E356" s="14" t="str">
        <f t="shared" si="25"/>
        <v>护理</v>
      </c>
      <c r="F356" s="9" t="str">
        <f>"2018010912"</f>
        <v>2018010912</v>
      </c>
      <c r="G356" s="9">
        <v>44</v>
      </c>
      <c r="H356" s="9">
        <v>89</v>
      </c>
      <c r="I356" s="9">
        <f t="shared" si="23"/>
        <v>75.5</v>
      </c>
      <c r="J356" s="9"/>
      <c r="K356" s="3">
        <v>9</v>
      </c>
      <c r="L356" s="3">
        <v>12</v>
      </c>
    </row>
    <row r="357" spans="1:12" ht="18.75" customHeight="1">
      <c r="A357" s="3" t="str">
        <f>"10522018030213410883147"</f>
        <v>10522018030213410883147</v>
      </c>
      <c r="B357" s="8" t="s">
        <v>18</v>
      </c>
      <c r="C357" s="9" t="str">
        <f t="shared" si="24"/>
        <v>女</v>
      </c>
      <c r="D357" s="9" t="str">
        <f>"341621199603275340"</f>
        <v>341621199603275340</v>
      </c>
      <c r="E357" s="14" t="str">
        <f t="shared" si="25"/>
        <v>护理</v>
      </c>
      <c r="F357" s="9" t="str">
        <f>"2018011105"</f>
        <v>2018011105</v>
      </c>
      <c r="G357" s="9">
        <v>41.5</v>
      </c>
      <c r="H357" s="9">
        <v>90</v>
      </c>
      <c r="I357" s="9">
        <f t="shared" si="23"/>
        <v>75.449999999999989</v>
      </c>
      <c r="J357" s="9"/>
      <c r="K357" s="3">
        <v>11</v>
      </c>
      <c r="L357" s="3">
        <v>5</v>
      </c>
    </row>
    <row r="358" spans="1:12" ht="18.75" customHeight="1">
      <c r="A358" s="3" t="str">
        <f>"10522018030215081583177"</f>
        <v>10522018030215081583177</v>
      </c>
      <c r="B358" s="8" t="s">
        <v>18</v>
      </c>
      <c r="C358" s="9" t="str">
        <f t="shared" si="24"/>
        <v>女</v>
      </c>
      <c r="D358" s="9" t="str">
        <f>"341226199703064081"</f>
        <v>341226199703064081</v>
      </c>
      <c r="E358" s="14" t="str">
        <f t="shared" si="25"/>
        <v>护理</v>
      </c>
      <c r="F358" s="9" t="str">
        <f>"2018011322"</f>
        <v>2018011322</v>
      </c>
      <c r="G358" s="9">
        <v>34.5</v>
      </c>
      <c r="H358" s="9">
        <v>93</v>
      </c>
      <c r="I358" s="9">
        <f t="shared" si="23"/>
        <v>75.449999999999989</v>
      </c>
      <c r="J358" s="9"/>
      <c r="K358" s="3">
        <v>13</v>
      </c>
      <c r="L358" s="3">
        <v>22</v>
      </c>
    </row>
    <row r="359" spans="1:12" ht="18.75" customHeight="1">
      <c r="A359" s="3" t="str">
        <f>"10522018030114375182916"</f>
        <v>10522018030114375182916</v>
      </c>
      <c r="B359" s="8" t="s">
        <v>18</v>
      </c>
      <c r="C359" s="9" t="str">
        <f t="shared" si="24"/>
        <v>女</v>
      </c>
      <c r="D359" s="9" t="str">
        <f>"341224199510109228"</f>
        <v>341224199510109228</v>
      </c>
      <c r="E359" s="14" t="str">
        <f t="shared" si="25"/>
        <v>护理</v>
      </c>
      <c r="F359" s="9" t="str">
        <f>"2018011417"</f>
        <v>2018011417</v>
      </c>
      <c r="G359" s="9">
        <v>50.5</v>
      </c>
      <c r="H359" s="9">
        <v>86</v>
      </c>
      <c r="I359" s="9">
        <f t="shared" si="23"/>
        <v>75.349999999999994</v>
      </c>
      <c r="J359" s="9"/>
      <c r="K359" s="3">
        <v>14</v>
      </c>
      <c r="L359" s="3">
        <v>17</v>
      </c>
    </row>
    <row r="360" spans="1:12" ht="18.75" customHeight="1">
      <c r="A360" s="3" t="str">
        <f>"10522018022722294982442"</f>
        <v>10522018022722294982442</v>
      </c>
      <c r="B360" s="8" t="s">
        <v>18</v>
      </c>
      <c r="C360" s="9" t="str">
        <f t="shared" si="24"/>
        <v>女</v>
      </c>
      <c r="D360" s="9" t="str">
        <f>"341621199411132927"</f>
        <v>341621199411132927</v>
      </c>
      <c r="E360" s="14" t="str">
        <f t="shared" si="25"/>
        <v>护理</v>
      </c>
      <c r="F360" s="9" t="str">
        <f>"2018010706"</f>
        <v>2018010706</v>
      </c>
      <c r="G360" s="9">
        <v>62</v>
      </c>
      <c r="H360" s="9">
        <v>81</v>
      </c>
      <c r="I360" s="9">
        <f t="shared" si="23"/>
        <v>75.3</v>
      </c>
      <c r="J360" s="9"/>
      <c r="K360" s="3">
        <v>7</v>
      </c>
      <c r="L360" s="3">
        <v>6</v>
      </c>
    </row>
    <row r="361" spans="1:12" ht="18.75" customHeight="1">
      <c r="A361" s="3" t="str">
        <f>"10522018022714533282270"</f>
        <v>10522018022714533282270</v>
      </c>
      <c r="B361" s="8" t="s">
        <v>18</v>
      </c>
      <c r="C361" s="9" t="str">
        <f t="shared" si="24"/>
        <v>女</v>
      </c>
      <c r="D361" s="9" t="str">
        <f>"341224199502270222"</f>
        <v>341224199502270222</v>
      </c>
      <c r="E361" s="14" t="str">
        <f t="shared" si="25"/>
        <v>护理</v>
      </c>
      <c r="F361" s="9" t="str">
        <f>"2018011714"</f>
        <v>2018011714</v>
      </c>
      <c r="G361" s="9">
        <v>48</v>
      </c>
      <c r="H361" s="9">
        <v>87</v>
      </c>
      <c r="I361" s="9">
        <f t="shared" si="23"/>
        <v>75.3</v>
      </c>
      <c r="J361" s="9"/>
      <c r="K361" s="3">
        <v>17</v>
      </c>
      <c r="L361" s="3">
        <v>14</v>
      </c>
    </row>
    <row r="362" spans="1:12" ht="18.75" customHeight="1">
      <c r="A362" s="3" t="str">
        <f>"10522018022611571481775"</f>
        <v>10522018022611571481775</v>
      </c>
      <c r="B362" s="8" t="s">
        <v>18</v>
      </c>
      <c r="C362" s="9" t="str">
        <f t="shared" si="24"/>
        <v>女</v>
      </c>
      <c r="D362" s="9" t="str">
        <f>"341621199612204747"</f>
        <v>341621199612204747</v>
      </c>
      <c r="E362" s="14" t="str">
        <f t="shared" si="25"/>
        <v>护理</v>
      </c>
      <c r="F362" s="9" t="str">
        <f>"2018011217"</f>
        <v>2018011217</v>
      </c>
      <c r="G362" s="9">
        <v>45.5</v>
      </c>
      <c r="H362" s="9">
        <v>88</v>
      </c>
      <c r="I362" s="9">
        <f t="shared" si="23"/>
        <v>75.25</v>
      </c>
      <c r="J362" s="9"/>
      <c r="K362" s="3">
        <v>12</v>
      </c>
      <c r="L362" s="3">
        <v>17</v>
      </c>
    </row>
    <row r="363" spans="1:12" ht="18.75" customHeight="1">
      <c r="A363" s="3" t="str">
        <f>"10522018030108185482786"</f>
        <v>10522018030108185482786</v>
      </c>
      <c r="B363" s="8" t="s">
        <v>18</v>
      </c>
      <c r="C363" s="9" t="str">
        <f t="shared" si="24"/>
        <v>女</v>
      </c>
      <c r="D363" s="9" t="str">
        <f>"341621199605021520"</f>
        <v>341621199605021520</v>
      </c>
      <c r="E363" s="14" t="str">
        <f t="shared" si="25"/>
        <v>护理</v>
      </c>
      <c r="F363" s="9" t="str">
        <f>"2018011628"</f>
        <v>2018011628</v>
      </c>
      <c r="G363" s="9">
        <v>38.5</v>
      </c>
      <c r="H363" s="9">
        <v>91</v>
      </c>
      <c r="I363" s="9">
        <f t="shared" si="23"/>
        <v>75.25</v>
      </c>
      <c r="J363" s="9"/>
      <c r="K363" s="3">
        <v>16</v>
      </c>
      <c r="L363" s="3">
        <v>28</v>
      </c>
    </row>
    <row r="364" spans="1:12" ht="18.75" customHeight="1">
      <c r="A364" s="3" t="str">
        <f>"10522018022609403981623"</f>
        <v>10522018022609403981623</v>
      </c>
      <c r="B364" s="8" t="s">
        <v>18</v>
      </c>
      <c r="C364" s="9" t="str">
        <f t="shared" si="24"/>
        <v>女</v>
      </c>
      <c r="D364" s="9" t="str">
        <f>"341223199408280524"</f>
        <v>341223199408280524</v>
      </c>
      <c r="E364" s="14" t="str">
        <f t="shared" si="25"/>
        <v>护理</v>
      </c>
      <c r="F364" s="9" t="str">
        <f>"2018010715"</f>
        <v>2018010715</v>
      </c>
      <c r="G364" s="9">
        <v>29</v>
      </c>
      <c r="H364" s="9">
        <v>95</v>
      </c>
      <c r="I364" s="9">
        <f t="shared" si="23"/>
        <v>75.2</v>
      </c>
      <c r="J364" s="9"/>
      <c r="K364" s="3">
        <v>7</v>
      </c>
      <c r="L364" s="3">
        <v>15</v>
      </c>
    </row>
    <row r="365" spans="1:12" ht="18.75" customHeight="1">
      <c r="A365" s="3" t="str">
        <f>"10522018030114485382920"</f>
        <v>10522018030114485382920</v>
      </c>
      <c r="B365" s="8" t="s">
        <v>18</v>
      </c>
      <c r="C365" s="9" t="str">
        <f t="shared" si="24"/>
        <v>女</v>
      </c>
      <c r="D365" s="9" t="str">
        <f>"341227199310140043"</f>
        <v>341227199310140043</v>
      </c>
      <c r="E365" s="14" t="str">
        <f t="shared" si="25"/>
        <v>护理</v>
      </c>
      <c r="F365" s="9" t="str">
        <f>"2018011008"</f>
        <v>2018011008</v>
      </c>
      <c r="G365" s="9">
        <v>57</v>
      </c>
      <c r="H365" s="9">
        <v>83</v>
      </c>
      <c r="I365" s="9">
        <f t="shared" si="23"/>
        <v>75.199999999999989</v>
      </c>
      <c r="J365" s="9"/>
      <c r="K365" s="3">
        <v>10</v>
      </c>
      <c r="L365" s="3">
        <v>8</v>
      </c>
    </row>
    <row r="366" spans="1:12" ht="18.75" customHeight="1">
      <c r="A366" s="3" t="str">
        <f>"10522018030113105582885"</f>
        <v>10522018030113105582885</v>
      </c>
      <c r="B366" s="8" t="s">
        <v>18</v>
      </c>
      <c r="C366" s="9" t="str">
        <f t="shared" si="24"/>
        <v>女</v>
      </c>
      <c r="D366" s="9" t="str">
        <f>"341623199702118327"</f>
        <v>341623199702118327</v>
      </c>
      <c r="E366" s="14" t="str">
        <f t="shared" si="25"/>
        <v>护理</v>
      </c>
      <c r="F366" s="9" t="str">
        <f>"2018010930"</f>
        <v>2018010930</v>
      </c>
      <c r="G366" s="9">
        <v>47.5</v>
      </c>
      <c r="H366" s="9">
        <v>87</v>
      </c>
      <c r="I366" s="9">
        <f t="shared" si="23"/>
        <v>75.150000000000006</v>
      </c>
      <c r="J366" s="9"/>
      <c r="K366" s="3">
        <v>9</v>
      </c>
      <c r="L366" s="3">
        <v>30</v>
      </c>
    </row>
    <row r="367" spans="1:12" ht="18.75" customHeight="1">
      <c r="A367" s="3" t="str">
        <f>"10522018022715170682277"</f>
        <v>10522018022715170682277</v>
      </c>
      <c r="B367" s="8" t="s">
        <v>18</v>
      </c>
      <c r="C367" s="9" t="str">
        <f t="shared" si="24"/>
        <v>女</v>
      </c>
      <c r="D367" s="9" t="str">
        <f>"341221199409012027"</f>
        <v>341221199409012027</v>
      </c>
      <c r="E367" s="14" t="str">
        <f t="shared" si="25"/>
        <v>护理</v>
      </c>
      <c r="F367" s="9" t="str">
        <f>"2018011109"</f>
        <v>2018011109</v>
      </c>
      <c r="G367" s="9">
        <v>40.5</v>
      </c>
      <c r="H367" s="9">
        <v>90</v>
      </c>
      <c r="I367" s="9">
        <f t="shared" si="23"/>
        <v>75.149999999999991</v>
      </c>
      <c r="J367" s="9"/>
      <c r="K367" s="3">
        <v>11</v>
      </c>
      <c r="L367" s="3">
        <v>9</v>
      </c>
    </row>
    <row r="368" spans="1:12" ht="18.75" customHeight="1">
      <c r="A368" s="3" t="str">
        <f>"10522018022715541082291"</f>
        <v>10522018022715541082291</v>
      </c>
      <c r="B368" s="8" t="s">
        <v>18</v>
      </c>
      <c r="C368" s="9" t="str">
        <f t="shared" si="24"/>
        <v>女</v>
      </c>
      <c r="D368" s="9" t="str">
        <f>"341223199407185349"</f>
        <v>341223199407185349</v>
      </c>
      <c r="E368" s="14" t="str">
        <f>"护理专业"</f>
        <v>护理专业</v>
      </c>
      <c r="F368" s="9" t="str">
        <f>"2018012008"</f>
        <v>2018012008</v>
      </c>
      <c r="G368" s="9">
        <v>33.5</v>
      </c>
      <c r="H368" s="9">
        <v>93</v>
      </c>
      <c r="I368" s="9">
        <f t="shared" si="23"/>
        <v>75.149999999999991</v>
      </c>
      <c r="J368" s="9"/>
      <c r="K368" s="3">
        <v>20</v>
      </c>
      <c r="L368" s="3">
        <v>8</v>
      </c>
    </row>
    <row r="369" spans="1:12" ht="18.75" customHeight="1">
      <c r="A369" s="3" t="str">
        <f>"10522018022615012681900"</f>
        <v>10522018022615012681900</v>
      </c>
      <c r="B369" s="8" t="s">
        <v>18</v>
      </c>
      <c r="C369" s="9" t="str">
        <f t="shared" si="24"/>
        <v>女</v>
      </c>
      <c r="D369" s="9" t="str">
        <f>"341223199603042142"</f>
        <v>341223199603042142</v>
      </c>
      <c r="E369" s="14" t="str">
        <f t="shared" ref="E369:E409" si="26">"护理"</f>
        <v>护理</v>
      </c>
      <c r="F369" s="9" t="str">
        <f>"2018011023"</f>
        <v>2018011023</v>
      </c>
      <c r="G369" s="9">
        <v>40</v>
      </c>
      <c r="H369" s="9">
        <v>90</v>
      </c>
      <c r="I369" s="9">
        <f t="shared" si="23"/>
        <v>75</v>
      </c>
      <c r="J369" s="9"/>
      <c r="K369" s="3">
        <v>10</v>
      </c>
      <c r="L369" s="3">
        <v>23</v>
      </c>
    </row>
    <row r="370" spans="1:12" ht="18.75" customHeight="1">
      <c r="A370" s="3" t="str">
        <f>"10522018022610534481720"</f>
        <v>10522018022610534481720</v>
      </c>
      <c r="B370" s="8" t="s">
        <v>18</v>
      </c>
      <c r="C370" s="9" t="str">
        <f t="shared" si="24"/>
        <v>女</v>
      </c>
      <c r="D370" s="9" t="str">
        <f>"341227199608254422"</f>
        <v>341227199608254422</v>
      </c>
      <c r="E370" s="14" t="str">
        <f t="shared" si="26"/>
        <v>护理</v>
      </c>
      <c r="F370" s="9" t="str">
        <f>"2018011201"</f>
        <v>2018011201</v>
      </c>
      <c r="G370" s="9">
        <v>37.5</v>
      </c>
      <c r="H370" s="9">
        <v>91</v>
      </c>
      <c r="I370" s="9">
        <f t="shared" si="23"/>
        <v>74.949999999999989</v>
      </c>
      <c r="J370" s="9"/>
      <c r="K370" s="3">
        <v>12</v>
      </c>
      <c r="L370" s="3">
        <v>1</v>
      </c>
    </row>
    <row r="371" spans="1:12" ht="18.75" customHeight="1">
      <c r="A371" s="3" t="str">
        <f>"10522018022609241181607"</f>
        <v>10522018022609241181607</v>
      </c>
      <c r="B371" s="8" t="s">
        <v>18</v>
      </c>
      <c r="C371" s="9" t="str">
        <f t="shared" si="24"/>
        <v>女</v>
      </c>
      <c r="D371" s="9" t="str">
        <f>"341621199809150527"</f>
        <v>341621199809150527</v>
      </c>
      <c r="E371" s="14" t="str">
        <f t="shared" si="26"/>
        <v>护理</v>
      </c>
      <c r="F371" s="9" t="str">
        <f>"2018011816"</f>
        <v>2018011816</v>
      </c>
      <c r="G371" s="9">
        <v>44.5</v>
      </c>
      <c r="H371" s="9">
        <v>88</v>
      </c>
      <c r="I371" s="9">
        <f t="shared" si="23"/>
        <v>74.949999999999989</v>
      </c>
      <c r="J371" s="9"/>
      <c r="K371" s="3">
        <v>18</v>
      </c>
      <c r="L371" s="3">
        <v>16</v>
      </c>
    </row>
    <row r="372" spans="1:12" ht="18.75" customHeight="1">
      <c r="A372" s="3" t="str">
        <f>"10522018022611181781752"</f>
        <v>10522018022611181781752</v>
      </c>
      <c r="B372" s="8" t="s">
        <v>18</v>
      </c>
      <c r="C372" s="9" t="str">
        <f t="shared" si="24"/>
        <v>女</v>
      </c>
      <c r="D372" s="9" t="str">
        <f>"341227199302281049"</f>
        <v>341227199302281049</v>
      </c>
      <c r="E372" s="14" t="str">
        <f t="shared" si="26"/>
        <v>护理</v>
      </c>
      <c r="F372" s="9" t="str">
        <f>"2018012209"</f>
        <v>2018012209</v>
      </c>
      <c r="G372" s="9">
        <v>49</v>
      </c>
      <c r="H372" s="9">
        <v>86</v>
      </c>
      <c r="I372" s="9">
        <f t="shared" si="23"/>
        <v>74.899999999999991</v>
      </c>
      <c r="J372" s="9"/>
      <c r="K372" s="3">
        <v>22</v>
      </c>
      <c r="L372" s="3">
        <v>9</v>
      </c>
    </row>
    <row r="373" spans="1:12" ht="18.75" customHeight="1">
      <c r="A373" s="3" t="str">
        <f>"10522018030109160582803"</f>
        <v>10522018030109160582803</v>
      </c>
      <c r="B373" s="8" t="s">
        <v>18</v>
      </c>
      <c r="C373" s="9" t="str">
        <f t="shared" si="24"/>
        <v>女</v>
      </c>
      <c r="D373" s="9" t="str">
        <f>"341224199502044946"</f>
        <v>341224199502044946</v>
      </c>
      <c r="E373" s="14" t="str">
        <f t="shared" si="26"/>
        <v>护理</v>
      </c>
      <c r="F373" s="9" t="str">
        <f>"2018011510"</f>
        <v>2018011510</v>
      </c>
      <c r="G373" s="9">
        <v>39.5</v>
      </c>
      <c r="H373" s="9">
        <v>90</v>
      </c>
      <c r="I373" s="9">
        <f t="shared" si="23"/>
        <v>74.849999999999994</v>
      </c>
      <c r="J373" s="9"/>
      <c r="K373" s="3">
        <v>15</v>
      </c>
      <c r="L373" s="3">
        <v>10</v>
      </c>
    </row>
    <row r="374" spans="1:12" ht="18.75" customHeight="1">
      <c r="A374" s="3" t="str">
        <f>"10522018022720243182393"</f>
        <v>10522018022720243182393</v>
      </c>
      <c r="B374" s="8" t="s">
        <v>18</v>
      </c>
      <c r="C374" s="9" t="str">
        <f t="shared" si="24"/>
        <v>女</v>
      </c>
      <c r="D374" s="9" t="str">
        <f>"341203199505123728"</f>
        <v>341203199505123728</v>
      </c>
      <c r="E374" s="14" t="str">
        <f t="shared" si="26"/>
        <v>护理</v>
      </c>
      <c r="F374" s="9" t="str">
        <f>"2018011605"</f>
        <v>2018011605</v>
      </c>
      <c r="G374" s="9">
        <v>32.5</v>
      </c>
      <c r="H374" s="9">
        <v>93</v>
      </c>
      <c r="I374" s="9">
        <f t="shared" si="23"/>
        <v>74.849999999999994</v>
      </c>
      <c r="J374" s="9"/>
      <c r="K374" s="3">
        <v>16</v>
      </c>
      <c r="L374" s="3">
        <v>5</v>
      </c>
    </row>
    <row r="375" spans="1:12" ht="18.75" customHeight="1">
      <c r="A375" s="3" t="str">
        <f>"10522018022613222281838"</f>
        <v>10522018022613222281838</v>
      </c>
      <c r="B375" s="8" t="s">
        <v>18</v>
      </c>
      <c r="C375" s="9" t="str">
        <f t="shared" si="24"/>
        <v>女</v>
      </c>
      <c r="D375" s="9" t="str">
        <f>"341227199509082020"</f>
        <v>341227199509082020</v>
      </c>
      <c r="E375" s="14" t="str">
        <f t="shared" si="26"/>
        <v>护理</v>
      </c>
      <c r="F375" s="9" t="str">
        <f>"2018010524"</f>
        <v>2018010524</v>
      </c>
      <c r="G375" s="9">
        <v>30</v>
      </c>
      <c r="H375" s="9">
        <v>94</v>
      </c>
      <c r="I375" s="9">
        <f t="shared" si="23"/>
        <v>74.8</v>
      </c>
      <c r="J375" s="9"/>
      <c r="K375" s="3">
        <v>5</v>
      </c>
      <c r="L375" s="3">
        <v>24</v>
      </c>
    </row>
    <row r="376" spans="1:12" ht="18.75" customHeight="1">
      <c r="A376" s="3" t="str">
        <f>"10522018022816511882654"</f>
        <v>10522018022816511882654</v>
      </c>
      <c r="B376" s="8" t="s">
        <v>18</v>
      </c>
      <c r="C376" s="9" t="str">
        <f t="shared" si="24"/>
        <v>女</v>
      </c>
      <c r="D376" s="9" t="str">
        <f>"34122719970716262X"</f>
        <v>34122719970716262X</v>
      </c>
      <c r="E376" s="14" t="str">
        <f t="shared" si="26"/>
        <v>护理</v>
      </c>
      <c r="F376" s="9" t="str">
        <f>"2018012003"</f>
        <v>2018012003</v>
      </c>
      <c r="G376" s="9">
        <v>51</v>
      </c>
      <c r="H376" s="9">
        <v>85</v>
      </c>
      <c r="I376" s="9">
        <f t="shared" si="23"/>
        <v>74.8</v>
      </c>
      <c r="J376" s="9"/>
      <c r="K376" s="3">
        <v>20</v>
      </c>
      <c r="L376" s="3">
        <v>3</v>
      </c>
    </row>
    <row r="377" spans="1:12" ht="18.75" customHeight="1">
      <c r="A377" s="3" t="str">
        <f>"10522018022620052582046"</f>
        <v>10522018022620052582046</v>
      </c>
      <c r="B377" s="8" t="s">
        <v>18</v>
      </c>
      <c r="C377" s="9" t="str">
        <f t="shared" si="24"/>
        <v>女</v>
      </c>
      <c r="D377" s="9" t="str">
        <f>"341223199512272727"</f>
        <v>341223199512272727</v>
      </c>
      <c r="E377" s="14" t="str">
        <f t="shared" si="26"/>
        <v>护理</v>
      </c>
      <c r="F377" s="9" t="str">
        <f>"2018010628"</f>
        <v>2018010628</v>
      </c>
      <c r="G377" s="9">
        <v>41.5</v>
      </c>
      <c r="H377" s="9">
        <v>89</v>
      </c>
      <c r="I377" s="9">
        <f t="shared" si="23"/>
        <v>74.75</v>
      </c>
      <c r="J377" s="9"/>
      <c r="K377" s="3">
        <v>6</v>
      </c>
      <c r="L377" s="3">
        <v>28</v>
      </c>
    </row>
    <row r="378" spans="1:12" ht="18.75" customHeight="1">
      <c r="A378" s="3" t="str">
        <f>"10522018030116441582961"</f>
        <v>10522018030116441582961</v>
      </c>
      <c r="B378" s="8" t="s">
        <v>18</v>
      </c>
      <c r="C378" s="9" t="str">
        <f t="shared" si="24"/>
        <v>女</v>
      </c>
      <c r="D378" s="9" t="str">
        <f>"341621199503153522"</f>
        <v>341621199503153522</v>
      </c>
      <c r="E378" s="14" t="str">
        <f t="shared" si="26"/>
        <v>护理</v>
      </c>
      <c r="F378" s="9" t="str">
        <f>"2018011014"</f>
        <v>2018011014</v>
      </c>
      <c r="G378" s="9">
        <v>36.5</v>
      </c>
      <c r="H378" s="9">
        <v>91</v>
      </c>
      <c r="I378" s="9">
        <f t="shared" si="23"/>
        <v>74.649999999999991</v>
      </c>
      <c r="J378" s="9"/>
      <c r="K378" s="3">
        <v>10</v>
      </c>
      <c r="L378" s="3">
        <v>14</v>
      </c>
    </row>
    <row r="379" spans="1:12" ht="18.75" customHeight="1">
      <c r="A379" s="3" t="str">
        <f>"10522018022616590181970"</f>
        <v>10522018022616590181970</v>
      </c>
      <c r="B379" s="8" t="s">
        <v>18</v>
      </c>
      <c r="C379" s="9" t="str">
        <f t="shared" si="24"/>
        <v>女</v>
      </c>
      <c r="D379" s="9" t="str">
        <f>"341621199310162123"</f>
        <v>341621199310162123</v>
      </c>
      <c r="E379" s="14" t="str">
        <f t="shared" si="26"/>
        <v>护理</v>
      </c>
      <c r="F379" s="9" t="str">
        <f>"2018011428"</f>
        <v>2018011428</v>
      </c>
      <c r="G379" s="9">
        <v>52.5</v>
      </c>
      <c r="H379" s="9">
        <v>84</v>
      </c>
      <c r="I379" s="9">
        <f t="shared" si="23"/>
        <v>74.55</v>
      </c>
      <c r="J379" s="9"/>
      <c r="K379" s="3">
        <v>14</v>
      </c>
      <c r="L379" s="3">
        <v>28</v>
      </c>
    </row>
    <row r="380" spans="1:12" ht="18.75" customHeight="1">
      <c r="A380" s="3" t="str">
        <f>"10522018022615124681908"</f>
        <v>10522018022615124681908</v>
      </c>
      <c r="B380" s="8" t="s">
        <v>18</v>
      </c>
      <c r="C380" s="9" t="str">
        <f t="shared" si="24"/>
        <v>女</v>
      </c>
      <c r="D380" s="9" t="str">
        <f>"341223199707254529"</f>
        <v>341223199707254529</v>
      </c>
      <c r="E380" s="14" t="str">
        <f t="shared" si="26"/>
        <v>护理</v>
      </c>
      <c r="F380" s="9" t="str">
        <f>"2018012113"</f>
        <v>2018012113</v>
      </c>
      <c r="G380" s="9">
        <v>45.5</v>
      </c>
      <c r="H380" s="9">
        <v>87</v>
      </c>
      <c r="I380" s="9">
        <f t="shared" si="23"/>
        <v>74.55</v>
      </c>
      <c r="J380" s="9"/>
      <c r="K380" s="3">
        <v>21</v>
      </c>
      <c r="L380" s="3">
        <v>13</v>
      </c>
    </row>
    <row r="381" spans="1:12" ht="18.75" customHeight="1">
      <c r="A381" s="3" t="str">
        <f>"10522018022612571281821"</f>
        <v>10522018022612571281821</v>
      </c>
      <c r="B381" s="8" t="s">
        <v>18</v>
      </c>
      <c r="C381" s="9" t="str">
        <f t="shared" si="24"/>
        <v>女</v>
      </c>
      <c r="D381" s="9" t="str">
        <f>"341282199809111422"</f>
        <v>341282199809111422</v>
      </c>
      <c r="E381" s="14" t="str">
        <f t="shared" si="26"/>
        <v>护理</v>
      </c>
      <c r="F381" s="9" t="str">
        <f>"2018011204"</f>
        <v>2018011204</v>
      </c>
      <c r="G381" s="9">
        <v>43</v>
      </c>
      <c r="H381" s="9">
        <v>88</v>
      </c>
      <c r="I381" s="9">
        <f t="shared" si="23"/>
        <v>74.5</v>
      </c>
      <c r="J381" s="9"/>
      <c r="K381" s="3">
        <v>12</v>
      </c>
      <c r="L381" s="3">
        <v>4</v>
      </c>
    </row>
    <row r="382" spans="1:12" ht="18.75" customHeight="1">
      <c r="A382" s="3" t="str">
        <f>"10522018030115365582934"</f>
        <v>10522018030115365582934</v>
      </c>
      <c r="B382" s="8" t="s">
        <v>18</v>
      </c>
      <c r="C382" s="9" t="str">
        <f t="shared" si="24"/>
        <v>女</v>
      </c>
      <c r="D382" s="9" t="str">
        <f>"341223199503255327"</f>
        <v>341223199503255327</v>
      </c>
      <c r="E382" s="14" t="str">
        <f t="shared" si="26"/>
        <v>护理</v>
      </c>
      <c r="F382" s="9" t="str">
        <f>"2018010624"</f>
        <v>2018010624</v>
      </c>
      <c r="G382" s="9">
        <v>33.5</v>
      </c>
      <c r="H382" s="9">
        <v>92</v>
      </c>
      <c r="I382" s="9">
        <f t="shared" si="23"/>
        <v>74.449999999999989</v>
      </c>
      <c r="J382" s="9"/>
      <c r="K382" s="3">
        <v>6</v>
      </c>
      <c r="L382" s="3">
        <v>24</v>
      </c>
    </row>
    <row r="383" spans="1:12" ht="18.75" customHeight="1">
      <c r="A383" s="3" t="str">
        <f>"10522018022718434382331"</f>
        <v>10522018022718434382331</v>
      </c>
      <c r="B383" s="8" t="s">
        <v>18</v>
      </c>
      <c r="C383" s="9" t="str">
        <f t="shared" si="24"/>
        <v>女</v>
      </c>
      <c r="D383" s="9" t="str">
        <f>"341223199710110948"</f>
        <v>341223199710110948</v>
      </c>
      <c r="E383" s="14" t="str">
        <f t="shared" si="26"/>
        <v>护理</v>
      </c>
      <c r="F383" s="9" t="str">
        <f>"2018010826"</f>
        <v>2018010826</v>
      </c>
      <c r="G383" s="9">
        <v>47.5</v>
      </c>
      <c r="H383" s="9">
        <v>86</v>
      </c>
      <c r="I383" s="9">
        <f t="shared" si="23"/>
        <v>74.449999999999989</v>
      </c>
      <c r="J383" s="9"/>
      <c r="K383" s="3">
        <v>8</v>
      </c>
      <c r="L383" s="3">
        <v>26</v>
      </c>
    </row>
    <row r="384" spans="1:12" ht="18.75" customHeight="1">
      <c r="A384" s="3" t="str">
        <f>"10522018030119301383003"</f>
        <v>10522018030119301383003</v>
      </c>
      <c r="B384" s="8" t="s">
        <v>18</v>
      </c>
      <c r="C384" s="9" t="str">
        <f t="shared" si="24"/>
        <v>女</v>
      </c>
      <c r="D384" s="9" t="str">
        <f>"341621199610180286"</f>
        <v>341621199610180286</v>
      </c>
      <c r="E384" s="14" t="str">
        <f t="shared" si="26"/>
        <v>护理</v>
      </c>
      <c r="F384" s="9" t="str">
        <f>"2018012005"</f>
        <v>2018012005</v>
      </c>
      <c r="G384" s="9">
        <v>33.5</v>
      </c>
      <c r="H384" s="9">
        <v>92</v>
      </c>
      <c r="I384" s="9">
        <f t="shared" si="23"/>
        <v>74.449999999999989</v>
      </c>
      <c r="J384" s="9"/>
      <c r="K384" s="3">
        <v>20</v>
      </c>
      <c r="L384" s="3">
        <v>5</v>
      </c>
    </row>
    <row r="385" spans="1:12" ht="18.75" customHeight="1">
      <c r="A385" s="3" t="str">
        <f>"10522018022618535482022"</f>
        <v>10522018022618535482022</v>
      </c>
      <c r="B385" s="8" t="s">
        <v>18</v>
      </c>
      <c r="C385" s="9" t="str">
        <f t="shared" si="24"/>
        <v>女</v>
      </c>
      <c r="D385" s="9" t="str">
        <f>"341281199603097761"</f>
        <v>341281199603097761</v>
      </c>
      <c r="E385" s="14" t="str">
        <f t="shared" si="26"/>
        <v>护理</v>
      </c>
      <c r="F385" s="9" t="str">
        <f>"2018012201"</f>
        <v>2018012201</v>
      </c>
      <c r="G385" s="9">
        <v>31</v>
      </c>
      <c r="H385" s="9">
        <v>93</v>
      </c>
      <c r="I385" s="9">
        <f t="shared" si="23"/>
        <v>74.399999999999991</v>
      </c>
      <c r="J385" s="9"/>
      <c r="K385" s="3">
        <v>22</v>
      </c>
      <c r="L385" s="3">
        <v>1</v>
      </c>
    </row>
    <row r="386" spans="1:12" ht="18.75" customHeight="1">
      <c r="A386" s="3" t="str">
        <f>"10522018022610571581725"</f>
        <v>10522018022610571581725</v>
      </c>
      <c r="B386" s="8" t="s">
        <v>18</v>
      </c>
      <c r="C386" s="9" t="str">
        <f t="shared" si="24"/>
        <v>女</v>
      </c>
      <c r="D386" s="9" t="str">
        <f>"341621199507132921"</f>
        <v>341621199507132921</v>
      </c>
      <c r="E386" s="14" t="str">
        <f t="shared" si="26"/>
        <v>护理</v>
      </c>
      <c r="F386" s="9" t="str">
        <f>"2018010806"</f>
        <v>2018010806</v>
      </c>
      <c r="G386" s="9">
        <v>40</v>
      </c>
      <c r="H386" s="9">
        <v>89</v>
      </c>
      <c r="I386" s="9">
        <f t="shared" si="23"/>
        <v>74.3</v>
      </c>
      <c r="J386" s="9"/>
      <c r="K386" s="3">
        <v>8</v>
      </c>
      <c r="L386" s="3">
        <v>6</v>
      </c>
    </row>
    <row r="387" spans="1:12" ht="18.75" customHeight="1">
      <c r="A387" s="3" t="str">
        <f>"10522018022719203482361"</f>
        <v>10522018022719203482361</v>
      </c>
      <c r="B387" s="8" t="s">
        <v>18</v>
      </c>
      <c r="C387" s="9" t="str">
        <f t="shared" si="24"/>
        <v>女</v>
      </c>
      <c r="D387" s="9" t="str">
        <f>"341227199508301025"</f>
        <v>341227199508301025</v>
      </c>
      <c r="E387" s="14" t="str">
        <f t="shared" si="26"/>
        <v>护理</v>
      </c>
      <c r="F387" s="9" t="str">
        <f>"2018011107"</f>
        <v>2018011107</v>
      </c>
      <c r="G387" s="9">
        <v>26</v>
      </c>
      <c r="H387" s="9">
        <v>95</v>
      </c>
      <c r="I387" s="9">
        <f t="shared" ref="I387:I450" si="27">G387*0.3+H387*0.7</f>
        <v>74.3</v>
      </c>
      <c r="J387" s="9"/>
      <c r="K387" s="3">
        <v>11</v>
      </c>
      <c r="L387" s="3">
        <v>7</v>
      </c>
    </row>
    <row r="388" spans="1:12" ht="18.75" customHeight="1">
      <c r="A388" s="3" t="str">
        <f>"10522018022618122382006"</f>
        <v>10522018022618122382006</v>
      </c>
      <c r="B388" s="8" t="s">
        <v>18</v>
      </c>
      <c r="C388" s="9" t="str">
        <f t="shared" si="24"/>
        <v>女</v>
      </c>
      <c r="D388" s="9" t="str">
        <f>"341203199511012223"</f>
        <v>341203199511012223</v>
      </c>
      <c r="E388" s="14" t="str">
        <f t="shared" si="26"/>
        <v>护理</v>
      </c>
      <c r="F388" s="9" t="str">
        <f>"2018011910"</f>
        <v>2018011910</v>
      </c>
      <c r="G388" s="9">
        <v>33</v>
      </c>
      <c r="H388" s="9">
        <v>92</v>
      </c>
      <c r="I388" s="9">
        <f t="shared" si="27"/>
        <v>74.3</v>
      </c>
      <c r="J388" s="9"/>
      <c r="K388" s="3">
        <v>19</v>
      </c>
      <c r="L388" s="3">
        <v>10</v>
      </c>
    </row>
    <row r="389" spans="1:12" ht="18.75" customHeight="1">
      <c r="A389" s="3" t="str">
        <f>"10522018022612585381824"</f>
        <v>10522018022612585381824</v>
      </c>
      <c r="B389" s="8" t="s">
        <v>18</v>
      </c>
      <c r="C389" s="9" t="str">
        <f t="shared" si="24"/>
        <v>女</v>
      </c>
      <c r="D389" s="9" t="str">
        <f>"34122719940512154X"</f>
        <v>34122719940512154X</v>
      </c>
      <c r="E389" s="14" t="str">
        <f t="shared" si="26"/>
        <v>护理</v>
      </c>
      <c r="F389" s="9" t="str">
        <f>"2018011306"</f>
        <v>2018011306</v>
      </c>
      <c r="G389" s="9">
        <v>25.5</v>
      </c>
      <c r="H389" s="9">
        <v>95</v>
      </c>
      <c r="I389" s="9">
        <f t="shared" si="27"/>
        <v>74.150000000000006</v>
      </c>
      <c r="J389" s="9"/>
      <c r="K389" s="3">
        <v>13</v>
      </c>
      <c r="L389" s="3">
        <v>6</v>
      </c>
    </row>
    <row r="390" spans="1:12" ht="18.75" customHeight="1">
      <c r="A390" s="3" t="str">
        <f>"10522018022611503081770"</f>
        <v>10522018022611503081770</v>
      </c>
      <c r="B390" s="8" t="s">
        <v>18</v>
      </c>
      <c r="C390" s="9" t="str">
        <f t="shared" si="24"/>
        <v>女</v>
      </c>
      <c r="D390" s="9" t="str">
        <f>"341621199605275125"</f>
        <v>341621199605275125</v>
      </c>
      <c r="E390" s="14" t="str">
        <f t="shared" si="26"/>
        <v>护理</v>
      </c>
      <c r="F390" s="9" t="str">
        <f>"2018012021"</f>
        <v>2018012021</v>
      </c>
      <c r="G390" s="9">
        <v>25.5</v>
      </c>
      <c r="H390" s="9">
        <v>95</v>
      </c>
      <c r="I390" s="9">
        <f t="shared" si="27"/>
        <v>74.150000000000006</v>
      </c>
      <c r="J390" s="9"/>
      <c r="K390" s="3">
        <v>20</v>
      </c>
      <c r="L390" s="3">
        <v>21</v>
      </c>
    </row>
    <row r="391" spans="1:12" ht="18.75" customHeight="1">
      <c r="A391" s="3" t="str">
        <f>"10522018022618474882020"</f>
        <v>10522018022618474882020</v>
      </c>
      <c r="B391" s="8" t="s">
        <v>18</v>
      </c>
      <c r="C391" s="9" t="str">
        <f t="shared" si="24"/>
        <v>女</v>
      </c>
      <c r="D391" s="9" t="str">
        <f>"341621199708082924"</f>
        <v>341621199708082924</v>
      </c>
      <c r="E391" s="14" t="str">
        <f t="shared" si="26"/>
        <v>护理</v>
      </c>
      <c r="F391" s="9" t="str">
        <f>"2018010626"</f>
        <v>2018010626</v>
      </c>
      <c r="G391" s="9">
        <v>39.5</v>
      </c>
      <c r="H391" s="9">
        <v>89</v>
      </c>
      <c r="I391" s="9">
        <f t="shared" si="27"/>
        <v>74.149999999999991</v>
      </c>
      <c r="J391" s="9"/>
      <c r="K391" s="3">
        <v>6</v>
      </c>
      <c r="L391" s="3">
        <v>26</v>
      </c>
    </row>
    <row r="392" spans="1:12" ht="18.75" customHeight="1">
      <c r="A392" s="3" t="str">
        <f>"10522018022722320382443"</f>
        <v>10522018022722320382443</v>
      </c>
      <c r="B392" s="8" t="s">
        <v>18</v>
      </c>
      <c r="C392" s="9" t="str">
        <f t="shared" si="24"/>
        <v>女</v>
      </c>
      <c r="D392" s="9" t="str">
        <f>"341223199610200524"</f>
        <v>341223199610200524</v>
      </c>
      <c r="E392" s="14" t="str">
        <f t="shared" si="26"/>
        <v>护理</v>
      </c>
      <c r="F392" s="9" t="str">
        <f>"2018010813"</f>
        <v>2018010813</v>
      </c>
      <c r="G392" s="9">
        <v>39.5</v>
      </c>
      <c r="H392" s="9">
        <v>89</v>
      </c>
      <c r="I392" s="9">
        <f t="shared" si="27"/>
        <v>74.149999999999991</v>
      </c>
      <c r="J392" s="9"/>
      <c r="K392" s="3">
        <v>8</v>
      </c>
      <c r="L392" s="3">
        <v>13</v>
      </c>
    </row>
    <row r="393" spans="1:12" ht="18.75" customHeight="1">
      <c r="A393" s="3" t="str">
        <f>"10522018022609065781575"</f>
        <v>10522018022609065781575</v>
      </c>
      <c r="B393" s="8" t="s">
        <v>18</v>
      </c>
      <c r="C393" s="9" t="str">
        <f t="shared" si="24"/>
        <v>女</v>
      </c>
      <c r="D393" s="9" t="str">
        <f>"342222199412045644"</f>
        <v>342222199412045644</v>
      </c>
      <c r="E393" s="14" t="str">
        <f t="shared" si="26"/>
        <v>护理</v>
      </c>
      <c r="F393" s="9" t="str">
        <f>"2018011106"</f>
        <v>2018011106</v>
      </c>
      <c r="G393" s="9">
        <v>39.5</v>
      </c>
      <c r="H393" s="9">
        <v>89</v>
      </c>
      <c r="I393" s="9">
        <f t="shared" si="27"/>
        <v>74.149999999999991</v>
      </c>
      <c r="J393" s="9"/>
      <c r="K393" s="3">
        <v>11</v>
      </c>
      <c r="L393" s="3">
        <v>6</v>
      </c>
    </row>
    <row r="394" spans="1:12" ht="18.75" customHeight="1">
      <c r="A394" s="3" t="str">
        <f>"10522018030113061682883"</f>
        <v>10522018030113061682883</v>
      </c>
      <c r="B394" s="8" t="s">
        <v>18</v>
      </c>
      <c r="C394" s="9" t="str">
        <f t="shared" ref="C394:C457" si="28">"女"</f>
        <v>女</v>
      </c>
      <c r="D394" s="9" t="str">
        <f>"341621199504210066"</f>
        <v>341621199504210066</v>
      </c>
      <c r="E394" s="14" t="str">
        <f t="shared" si="26"/>
        <v>护理</v>
      </c>
      <c r="F394" s="9" t="str">
        <f>"2018012109"</f>
        <v>2018012109</v>
      </c>
      <c r="G394" s="9">
        <v>37</v>
      </c>
      <c r="H394" s="9">
        <v>90</v>
      </c>
      <c r="I394" s="9">
        <f t="shared" si="27"/>
        <v>74.099999999999994</v>
      </c>
      <c r="J394" s="9"/>
      <c r="K394" s="3">
        <v>21</v>
      </c>
      <c r="L394" s="3">
        <v>9</v>
      </c>
    </row>
    <row r="395" spans="1:12" ht="18.75" customHeight="1">
      <c r="A395" s="3" t="str">
        <f>"10522018022813412982598"</f>
        <v>10522018022813412982598</v>
      </c>
      <c r="B395" s="8" t="s">
        <v>18</v>
      </c>
      <c r="C395" s="9" t="str">
        <f t="shared" si="28"/>
        <v>女</v>
      </c>
      <c r="D395" s="9" t="str">
        <f>"341227199706156121"</f>
        <v>341227199706156121</v>
      </c>
      <c r="E395" s="14" t="str">
        <f t="shared" si="26"/>
        <v>护理</v>
      </c>
      <c r="F395" s="9" t="str">
        <f>"2018011210"</f>
        <v>2018011210</v>
      </c>
      <c r="G395" s="9">
        <v>53</v>
      </c>
      <c r="H395" s="9">
        <v>83</v>
      </c>
      <c r="I395" s="9">
        <f t="shared" si="27"/>
        <v>74</v>
      </c>
      <c r="J395" s="9"/>
      <c r="K395" s="3">
        <v>12</v>
      </c>
      <c r="L395" s="3">
        <v>10</v>
      </c>
    </row>
    <row r="396" spans="1:12" ht="18.75" customHeight="1">
      <c r="A396" s="3" t="str">
        <f>"10522018022618110482004"</f>
        <v>10522018022618110482004</v>
      </c>
      <c r="B396" s="8" t="s">
        <v>18</v>
      </c>
      <c r="C396" s="9" t="str">
        <f t="shared" si="28"/>
        <v>女</v>
      </c>
      <c r="D396" s="9" t="str">
        <f>"341223199411231723"</f>
        <v>341223199411231723</v>
      </c>
      <c r="E396" s="14" t="str">
        <f t="shared" si="26"/>
        <v>护理</v>
      </c>
      <c r="F396" s="9" t="str">
        <f>"2018011304"</f>
        <v>2018011304</v>
      </c>
      <c r="G396" s="9">
        <v>53</v>
      </c>
      <c r="H396" s="9">
        <v>83</v>
      </c>
      <c r="I396" s="9">
        <f t="shared" si="27"/>
        <v>74</v>
      </c>
      <c r="J396" s="9"/>
      <c r="K396" s="3">
        <v>13</v>
      </c>
      <c r="L396" s="3">
        <v>4</v>
      </c>
    </row>
    <row r="397" spans="1:12" ht="18.75" customHeight="1">
      <c r="A397" s="3" t="str">
        <f>"10522018022613564881861"</f>
        <v>10522018022613564881861</v>
      </c>
      <c r="B397" s="8" t="s">
        <v>18</v>
      </c>
      <c r="C397" s="9" t="str">
        <f t="shared" si="28"/>
        <v>女</v>
      </c>
      <c r="D397" s="9" t="str">
        <f>"341281199412289269"</f>
        <v>341281199412289269</v>
      </c>
      <c r="E397" s="14" t="str">
        <f t="shared" si="26"/>
        <v>护理</v>
      </c>
      <c r="F397" s="9" t="str">
        <f>"2018012105"</f>
        <v>2018012105</v>
      </c>
      <c r="G397" s="9">
        <v>53</v>
      </c>
      <c r="H397" s="9">
        <v>83</v>
      </c>
      <c r="I397" s="9">
        <f t="shared" si="27"/>
        <v>74</v>
      </c>
      <c r="J397" s="9"/>
      <c r="K397" s="3">
        <v>21</v>
      </c>
      <c r="L397" s="3">
        <v>5</v>
      </c>
    </row>
    <row r="398" spans="1:12" ht="18.75" customHeight="1">
      <c r="A398" s="3" t="str">
        <f>"10522018022808080082461"</f>
        <v>10522018022808080082461</v>
      </c>
      <c r="B398" s="8" t="s">
        <v>18</v>
      </c>
      <c r="C398" s="9" t="str">
        <f t="shared" si="28"/>
        <v>女</v>
      </c>
      <c r="D398" s="9" t="str">
        <f>"341223199701151748"</f>
        <v>341223199701151748</v>
      </c>
      <c r="E398" s="14" t="str">
        <f t="shared" si="26"/>
        <v>护理</v>
      </c>
      <c r="F398" s="9" t="str">
        <f>"2018010830"</f>
        <v>2018010830</v>
      </c>
      <c r="G398" s="9">
        <v>57.5</v>
      </c>
      <c r="H398" s="9">
        <v>81</v>
      </c>
      <c r="I398" s="9">
        <f t="shared" si="27"/>
        <v>73.949999999999989</v>
      </c>
      <c r="J398" s="9"/>
      <c r="K398" s="3">
        <v>8</v>
      </c>
      <c r="L398" s="3">
        <v>30</v>
      </c>
    </row>
    <row r="399" spans="1:12" ht="18.75" customHeight="1">
      <c r="A399" s="3" t="str">
        <f>"10522018022813214982586"</f>
        <v>10522018022813214982586</v>
      </c>
      <c r="B399" s="8" t="s">
        <v>18</v>
      </c>
      <c r="C399" s="9" t="str">
        <f t="shared" si="28"/>
        <v>女</v>
      </c>
      <c r="D399" s="9" t="str">
        <f>"341227199407066126"</f>
        <v>341227199407066126</v>
      </c>
      <c r="E399" s="14" t="str">
        <f t="shared" si="26"/>
        <v>护理</v>
      </c>
      <c r="F399" s="9" t="str">
        <f>"2018010704"</f>
        <v>2018010704</v>
      </c>
      <c r="G399" s="9">
        <v>48</v>
      </c>
      <c r="H399" s="9">
        <v>85</v>
      </c>
      <c r="I399" s="9">
        <f t="shared" si="27"/>
        <v>73.899999999999991</v>
      </c>
      <c r="J399" s="9"/>
      <c r="K399" s="3">
        <v>7</v>
      </c>
      <c r="L399" s="3">
        <v>4</v>
      </c>
    </row>
    <row r="400" spans="1:12" ht="18.75" customHeight="1">
      <c r="A400" s="3" t="str">
        <f>"10522018022610105281656"</f>
        <v>10522018022610105281656</v>
      </c>
      <c r="B400" s="8" t="s">
        <v>18</v>
      </c>
      <c r="C400" s="9" t="str">
        <f t="shared" si="28"/>
        <v>女</v>
      </c>
      <c r="D400" s="9" t="str">
        <f>"341227199505010062"</f>
        <v>341227199505010062</v>
      </c>
      <c r="E400" s="14" t="str">
        <f t="shared" si="26"/>
        <v>护理</v>
      </c>
      <c r="F400" s="9" t="str">
        <f>"2018010829"</f>
        <v>2018010829</v>
      </c>
      <c r="G400" s="9">
        <v>34</v>
      </c>
      <c r="H400" s="9">
        <v>91</v>
      </c>
      <c r="I400" s="9">
        <f t="shared" si="27"/>
        <v>73.899999999999991</v>
      </c>
      <c r="J400" s="9"/>
      <c r="K400" s="3">
        <v>8</v>
      </c>
      <c r="L400" s="3">
        <v>29</v>
      </c>
    </row>
    <row r="401" spans="1:12" ht="18.75" customHeight="1">
      <c r="A401" s="3" t="str">
        <f>"10522018022820464782733"</f>
        <v>10522018022820464782733</v>
      </c>
      <c r="B401" s="8" t="s">
        <v>18</v>
      </c>
      <c r="C401" s="9" t="str">
        <f t="shared" si="28"/>
        <v>女</v>
      </c>
      <c r="D401" s="9" t="str">
        <f>"341621199504202920"</f>
        <v>341621199504202920</v>
      </c>
      <c r="E401" s="14" t="str">
        <f t="shared" si="26"/>
        <v>护理</v>
      </c>
      <c r="F401" s="9" t="str">
        <f>"2018012106"</f>
        <v>2018012106</v>
      </c>
      <c r="G401" s="9">
        <v>34</v>
      </c>
      <c r="H401" s="9">
        <v>91</v>
      </c>
      <c r="I401" s="9">
        <f t="shared" si="27"/>
        <v>73.899999999999991</v>
      </c>
      <c r="J401" s="9"/>
      <c r="K401" s="3">
        <v>21</v>
      </c>
      <c r="L401" s="3">
        <v>6</v>
      </c>
    </row>
    <row r="402" spans="1:12" ht="18.75" customHeight="1">
      <c r="A402" s="3" t="str">
        <f>"10522018022622355382110"</f>
        <v>10522018022622355382110</v>
      </c>
      <c r="B402" s="8" t="s">
        <v>18</v>
      </c>
      <c r="C402" s="9" t="str">
        <f t="shared" si="28"/>
        <v>女</v>
      </c>
      <c r="D402" s="9" t="str">
        <f>"341281199605085705"</f>
        <v>341281199605085705</v>
      </c>
      <c r="E402" s="14" t="str">
        <f t="shared" si="26"/>
        <v>护理</v>
      </c>
      <c r="F402" s="9" t="str">
        <f>"2018011030"</f>
        <v>2018011030</v>
      </c>
      <c r="G402" s="9">
        <v>33.5</v>
      </c>
      <c r="H402" s="9">
        <v>91</v>
      </c>
      <c r="I402" s="9">
        <f t="shared" si="27"/>
        <v>73.75</v>
      </c>
      <c r="J402" s="9"/>
      <c r="K402" s="3">
        <v>10</v>
      </c>
      <c r="L402" s="3">
        <v>30</v>
      </c>
    </row>
    <row r="403" spans="1:12" ht="18.75" customHeight="1">
      <c r="A403" s="3" t="str">
        <f>"10522018022613420181854"</f>
        <v>10522018022613420181854</v>
      </c>
      <c r="B403" s="8" t="s">
        <v>18</v>
      </c>
      <c r="C403" s="9" t="str">
        <f t="shared" si="28"/>
        <v>女</v>
      </c>
      <c r="D403" s="9" t="str">
        <f>"341223199404025120"</f>
        <v>341223199404025120</v>
      </c>
      <c r="E403" s="14" t="str">
        <f t="shared" si="26"/>
        <v>护理</v>
      </c>
      <c r="F403" s="9" t="str">
        <f>"2018011315"</f>
        <v>2018011315</v>
      </c>
      <c r="G403" s="9">
        <v>31</v>
      </c>
      <c r="H403" s="9">
        <v>92</v>
      </c>
      <c r="I403" s="9">
        <f t="shared" si="27"/>
        <v>73.699999999999989</v>
      </c>
      <c r="J403" s="9"/>
      <c r="K403" s="3">
        <v>13</v>
      </c>
      <c r="L403" s="3">
        <v>15</v>
      </c>
    </row>
    <row r="404" spans="1:12" ht="18.75" customHeight="1">
      <c r="A404" s="3" t="str">
        <f>"10522018022709561982160"</f>
        <v>10522018022709561982160</v>
      </c>
      <c r="B404" s="8" t="s">
        <v>18</v>
      </c>
      <c r="C404" s="9" t="str">
        <f t="shared" si="28"/>
        <v>女</v>
      </c>
      <c r="D404" s="9" t="str">
        <f>"341621199702063925"</f>
        <v>341621199702063925</v>
      </c>
      <c r="E404" s="14" t="str">
        <f t="shared" si="26"/>
        <v>护理</v>
      </c>
      <c r="F404" s="9" t="str">
        <f>"2018011129"</f>
        <v>2018011129</v>
      </c>
      <c r="G404" s="9">
        <v>40</v>
      </c>
      <c r="H404" s="9">
        <v>88</v>
      </c>
      <c r="I404" s="9">
        <f t="shared" si="27"/>
        <v>73.599999999999994</v>
      </c>
      <c r="J404" s="9"/>
      <c r="K404" s="3">
        <v>11</v>
      </c>
      <c r="L404" s="3">
        <v>29</v>
      </c>
    </row>
    <row r="405" spans="1:12" ht="18.75" customHeight="1">
      <c r="A405" s="3" t="str">
        <f>"10522018022813474682602"</f>
        <v>10522018022813474682602</v>
      </c>
      <c r="B405" s="8" t="s">
        <v>18</v>
      </c>
      <c r="C405" s="9" t="str">
        <f t="shared" si="28"/>
        <v>女</v>
      </c>
      <c r="D405" s="9" t="str">
        <f>"341224199406290442"</f>
        <v>341224199406290442</v>
      </c>
      <c r="E405" s="14" t="str">
        <f t="shared" si="26"/>
        <v>护理</v>
      </c>
      <c r="F405" s="9" t="str">
        <f>"2018012107"</f>
        <v>2018012107</v>
      </c>
      <c r="G405" s="9">
        <v>37</v>
      </c>
      <c r="H405" s="9">
        <v>89</v>
      </c>
      <c r="I405" s="9">
        <f t="shared" si="27"/>
        <v>73.399999999999991</v>
      </c>
      <c r="J405" s="9"/>
      <c r="K405" s="3">
        <v>21</v>
      </c>
      <c r="L405" s="3">
        <v>7</v>
      </c>
    </row>
    <row r="406" spans="1:12" ht="18.75" customHeight="1">
      <c r="A406" s="3" t="str">
        <f>"10522018022620580182077"</f>
        <v>10522018022620580182077</v>
      </c>
      <c r="B406" s="8" t="s">
        <v>18</v>
      </c>
      <c r="C406" s="9" t="str">
        <f t="shared" si="28"/>
        <v>女</v>
      </c>
      <c r="D406" s="9" t="str">
        <f>"341224199510104582"</f>
        <v>341224199510104582</v>
      </c>
      <c r="E406" s="14" t="str">
        <f t="shared" si="26"/>
        <v>护理</v>
      </c>
      <c r="F406" s="9" t="str">
        <f>"2018010703"</f>
        <v>2018010703</v>
      </c>
      <c r="G406" s="9">
        <v>48.5</v>
      </c>
      <c r="H406" s="9">
        <v>84</v>
      </c>
      <c r="I406" s="9">
        <f t="shared" si="27"/>
        <v>73.349999999999994</v>
      </c>
      <c r="J406" s="9"/>
      <c r="K406" s="3">
        <v>7</v>
      </c>
      <c r="L406" s="3">
        <v>3</v>
      </c>
    </row>
    <row r="407" spans="1:12" ht="18.75" customHeight="1">
      <c r="A407" s="3" t="str">
        <f>"10522018022813243082589"</f>
        <v>10522018022813243082589</v>
      </c>
      <c r="B407" s="8" t="s">
        <v>18</v>
      </c>
      <c r="C407" s="9" t="str">
        <f t="shared" si="28"/>
        <v>女</v>
      </c>
      <c r="D407" s="9" t="str">
        <f>"341621199506155320"</f>
        <v>341621199506155320</v>
      </c>
      <c r="E407" s="14" t="str">
        <f t="shared" si="26"/>
        <v>护理</v>
      </c>
      <c r="F407" s="9" t="str">
        <f>"2018010802"</f>
        <v>2018010802</v>
      </c>
      <c r="G407" s="9">
        <v>34.5</v>
      </c>
      <c r="H407" s="9">
        <v>90</v>
      </c>
      <c r="I407" s="9">
        <f t="shared" si="27"/>
        <v>73.349999999999994</v>
      </c>
      <c r="J407" s="9"/>
      <c r="K407" s="3">
        <v>8</v>
      </c>
      <c r="L407" s="3">
        <v>2</v>
      </c>
    </row>
    <row r="408" spans="1:12" ht="18.75" customHeight="1">
      <c r="A408" s="3" t="str">
        <f>"10522018022717194682314"</f>
        <v>10522018022717194682314</v>
      </c>
      <c r="B408" s="8" t="s">
        <v>18</v>
      </c>
      <c r="C408" s="9" t="str">
        <f t="shared" si="28"/>
        <v>女</v>
      </c>
      <c r="D408" s="9" t="str">
        <f>"341221199703038105"</f>
        <v>341221199703038105</v>
      </c>
      <c r="E408" s="14" t="str">
        <f t="shared" si="26"/>
        <v>护理</v>
      </c>
      <c r="F408" s="9" t="str">
        <f>"2018012015"</f>
        <v>2018012015</v>
      </c>
      <c r="G408" s="9">
        <v>34.5</v>
      </c>
      <c r="H408" s="9">
        <v>90</v>
      </c>
      <c r="I408" s="9">
        <f t="shared" si="27"/>
        <v>73.349999999999994</v>
      </c>
      <c r="J408" s="9"/>
      <c r="K408" s="3">
        <v>20</v>
      </c>
      <c r="L408" s="3">
        <v>15</v>
      </c>
    </row>
    <row r="409" spans="1:12" ht="18.75" customHeight="1">
      <c r="A409" s="3" t="str">
        <f>"10522018030209013383078"</f>
        <v>10522018030209013383078</v>
      </c>
      <c r="B409" s="8" t="s">
        <v>18</v>
      </c>
      <c r="C409" s="9" t="str">
        <f t="shared" si="28"/>
        <v>女</v>
      </c>
      <c r="D409" s="9" t="str">
        <f>"341221199912100227"</f>
        <v>341221199912100227</v>
      </c>
      <c r="E409" s="14" t="str">
        <f t="shared" si="26"/>
        <v>护理</v>
      </c>
      <c r="F409" s="9" t="str">
        <f>"2018011819"</f>
        <v>2018011819</v>
      </c>
      <c r="G409" s="9">
        <v>36.5</v>
      </c>
      <c r="H409" s="9">
        <v>89</v>
      </c>
      <c r="I409" s="9">
        <f t="shared" si="27"/>
        <v>73.25</v>
      </c>
      <c r="J409" s="9"/>
      <c r="K409" s="3">
        <v>18</v>
      </c>
      <c r="L409" s="3">
        <v>19</v>
      </c>
    </row>
    <row r="410" spans="1:12" ht="18.75" customHeight="1">
      <c r="A410" s="3" t="str">
        <f>"10522018022620332982063"</f>
        <v>10522018022620332982063</v>
      </c>
      <c r="B410" s="8" t="s">
        <v>18</v>
      </c>
      <c r="C410" s="9" t="str">
        <f t="shared" si="28"/>
        <v>女</v>
      </c>
      <c r="D410" s="9" t="str">
        <f>"341222199509103328"</f>
        <v>341222199509103328</v>
      </c>
      <c r="E410" s="14" t="str">
        <f>"护理专业"</f>
        <v>护理专业</v>
      </c>
      <c r="F410" s="9" t="str">
        <f>"2018012001"</f>
        <v>2018012001</v>
      </c>
      <c r="G410" s="9">
        <v>29.5</v>
      </c>
      <c r="H410" s="9">
        <v>92</v>
      </c>
      <c r="I410" s="9">
        <f t="shared" si="27"/>
        <v>73.249999999999986</v>
      </c>
      <c r="J410" s="9"/>
      <c r="K410" s="3">
        <v>20</v>
      </c>
      <c r="L410" s="3">
        <v>1</v>
      </c>
    </row>
    <row r="411" spans="1:12" ht="18.75" customHeight="1">
      <c r="A411" s="3" t="str">
        <f>"10522018022611010781728"</f>
        <v>10522018022611010781728</v>
      </c>
      <c r="B411" s="8" t="s">
        <v>18</v>
      </c>
      <c r="C411" s="9" t="str">
        <f t="shared" si="28"/>
        <v>女</v>
      </c>
      <c r="D411" s="9" t="str">
        <f>"341224199412021329"</f>
        <v>341224199412021329</v>
      </c>
      <c r="E411" s="14" t="str">
        <f>"护理专业"</f>
        <v>护理专业</v>
      </c>
      <c r="F411" s="9" t="str">
        <f>"2018011017"</f>
        <v>2018011017</v>
      </c>
      <c r="G411" s="9">
        <v>48</v>
      </c>
      <c r="H411" s="9">
        <v>84</v>
      </c>
      <c r="I411" s="9">
        <f t="shared" si="27"/>
        <v>73.199999999999989</v>
      </c>
      <c r="J411" s="9"/>
      <c r="K411" s="3">
        <v>10</v>
      </c>
      <c r="L411" s="3">
        <v>17</v>
      </c>
    </row>
    <row r="412" spans="1:12" ht="18.75" customHeight="1">
      <c r="A412" s="3" t="str">
        <f>"10522018022611115281743"</f>
        <v>10522018022611115281743</v>
      </c>
      <c r="B412" s="8" t="s">
        <v>18</v>
      </c>
      <c r="C412" s="9" t="str">
        <f t="shared" si="28"/>
        <v>女</v>
      </c>
      <c r="D412" s="9" t="str">
        <f>"341223199710012344"</f>
        <v>341223199710012344</v>
      </c>
      <c r="E412" s="14" t="str">
        <f t="shared" ref="E412:E443" si="29">"护理"</f>
        <v>护理</v>
      </c>
      <c r="F412" s="9" t="str">
        <f>"2018011924"</f>
        <v>2018011924</v>
      </c>
      <c r="G412" s="9">
        <v>31.5</v>
      </c>
      <c r="H412" s="9">
        <v>91</v>
      </c>
      <c r="I412" s="9">
        <f t="shared" si="27"/>
        <v>73.149999999999991</v>
      </c>
      <c r="J412" s="9"/>
      <c r="K412" s="3">
        <v>19</v>
      </c>
      <c r="L412" s="3">
        <v>24</v>
      </c>
    </row>
    <row r="413" spans="1:12" ht="18.75" customHeight="1">
      <c r="A413" s="3" t="str">
        <f>"10522018030118595782999"</f>
        <v>10522018030118595782999</v>
      </c>
      <c r="B413" s="8" t="s">
        <v>18</v>
      </c>
      <c r="C413" s="9" t="str">
        <f t="shared" si="28"/>
        <v>女</v>
      </c>
      <c r="D413" s="9" t="str">
        <f>"341223199510221723"</f>
        <v>341223199510221723</v>
      </c>
      <c r="E413" s="14" t="str">
        <f t="shared" si="29"/>
        <v>护理</v>
      </c>
      <c r="F413" s="9" t="str">
        <f>"2018011507"</f>
        <v>2018011507</v>
      </c>
      <c r="G413" s="9">
        <v>49.5</v>
      </c>
      <c r="H413" s="9">
        <v>83</v>
      </c>
      <c r="I413" s="9">
        <f t="shared" si="27"/>
        <v>72.949999999999989</v>
      </c>
      <c r="J413" s="9"/>
      <c r="K413" s="3">
        <v>15</v>
      </c>
      <c r="L413" s="3">
        <v>7</v>
      </c>
    </row>
    <row r="414" spans="1:12" ht="18.75" customHeight="1">
      <c r="A414" s="3" t="str">
        <f>"10522018022819131982702"</f>
        <v>10522018022819131982702</v>
      </c>
      <c r="B414" s="8" t="s">
        <v>18</v>
      </c>
      <c r="C414" s="9" t="str">
        <f t="shared" si="28"/>
        <v>女</v>
      </c>
      <c r="D414" s="9" t="str">
        <f>"34162219940202826X"</f>
        <v>34162219940202826X</v>
      </c>
      <c r="E414" s="14" t="str">
        <f t="shared" si="29"/>
        <v>护理</v>
      </c>
      <c r="F414" s="9" t="str">
        <f>"2018011211"</f>
        <v>2018011211</v>
      </c>
      <c r="G414" s="9">
        <v>44.5</v>
      </c>
      <c r="H414" s="9">
        <v>85</v>
      </c>
      <c r="I414" s="9">
        <f t="shared" si="27"/>
        <v>72.849999999999994</v>
      </c>
      <c r="J414" s="9"/>
      <c r="K414" s="3">
        <v>12</v>
      </c>
      <c r="L414" s="3">
        <v>11</v>
      </c>
    </row>
    <row r="415" spans="1:12" ht="18.75" customHeight="1">
      <c r="A415" s="3" t="str">
        <f>"10522018030121424683034"</f>
        <v>10522018030121424683034</v>
      </c>
      <c r="B415" s="8" t="s">
        <v>18</v>
      </c>
      <c r="C415" s="9" t="str">
        <f t="shared" si="28"/>
        <v>女</v>
      </c>
      <c r="D415" s="9" t="str">
        <f>"341223199603203321"</f>
        <v>341223199603203321</v>
      </c>
      <c r="E415" s="14" t="str">
        <f t="shared" si="29"/>
        <v>护理</v>
      </c>
      <c r="F415" s="9" t="str">
        <f>"2018011213"</f>
        <v>2018011213</v>
      </c>
      <c r="G415" s="9">
        <v>44.5</v>
      </c>
      <c r="H415" s="9">
        <v>85</v>
      </c>
      <c r="I415" s="9">
        <f t="shared" si="27"/>
        <v>72.849999999999994</v>
      </c>
      <c r="J415" s="9"/>
      <c r="K415" s="3">
        <v>12</v>
      </c>
      <c r="L415" s="3">
        <v>13</v>
      </c>
    </row>
    <row r="416" spans="1:12" ht="18.75" customHeight="1">
      <c r="A416" s="3" t="str">
        <f>"10522018022615053181904"</f>
        <v>10522018022615053181904</v>
      </c>
      <c r="B416" s="8" t="s">
        <v>18</v>
      </c>
      <c r="C416" s="9" t="str">
        <f t="shared" si="28"/>
        <v>女</v>
      </c>
      <c r="D416" s="9" t="str">
        <f>"341621199805054140"</f>
        <v>341621199805054140</v>
      </c>
      <c r="E416" s="14" t="str">
        <f t="shared" si="29"/>
        <v>护理</v>
      </c>
      <c r="F416" s="9" t="str">
        <f>"2018012203"</f>
        <v>2018012203</v>
      </c>
      <c r="G416" s="9">
        <v>37.5</v>
      </c>
      <c r="H416" s="9">
        <v>88</v>
      </c>
      <c r="I416" s="9">
        <f t="shared" si="27"/>
        <v>72.849999999999994</v>
      </c>
      <c r="J416" s="9"/>
      <c r="K416" s="3">
        <v>22</v>
      </c>
      <c r="L416" s="3">
        <v>3</v>
      </c>
    </row>
    <row r="417" spans="1:12" ht="18.75" customHeight="1">
      <c r="A417" s="3" t="str">
        <f>"10522018022615284381917"</f>
        <v>10522018022615284381917</v>
      </c>
      <c r="B417" s="8" t="s">
        <v>18</v>
      </c>
      <c r="C417" s="9" t="str">
        <f t="shared" si="28"/>
        <v>女</v>
      </c>
      <c r="D417" s="9" t="str">
        <f>"341223199506070221"</f>
        <v>341223199506070221</v>
      </c>
      <c r="E417" s="14" t="str">
        <f t="shared" si="29"/>
        <v>护理</v>
      </c>
      <c r="F417" s="9" t="str">
        <f>"2018011523"</f>
        <v>2018011523</v>
      </c>
      <c r="G417" s="9">
        <v>42</v>
      </c>
      <c r="H417" s="9">
        <v>86</v>
      </c>
      <c r="I417" s="9">
        <f t="shared" si="27"/>
        <v>72.8</v>
      </c>
      <c r="J417" s="9"/>
      <c r="K417" s="3">
        <v>15</v>
      </c>
      <c r="L417" s="3">
        <v>23</v>
      </c>
    </row>
    <row r="418" spans="1:12" ht="18.75" customHeight="1">
      <c r="A418" s="3" t="str">
        <f>"10522018022620305982060"</f>
        <v>10522018022620305982060</v>
      </c>
      <c r="B418" s="8" t="s">
        <v>18</v>
      </c>
      <c r="C418" s="9" t="str">
        <f t="shared" si="28"/>
        <v>女</v>
      </c>
      <c r="D418" s="9" t="str">
        <f>"341223199710242721"</f>
        <v>341223199710242721</v>
      </c>
      <c r="E418" s="14" t="str">
        <f t="shared" si="29"/>
        <v>护理</v>
      </c>
      <c r="F418" s="9" t="str">
        <f>"2018010611"</f>
        <v>2018010611</v>
      </c>
      <c r="G418" s="9">
        <v>55.5</v>
      </c>
      <c r="H418" s="9">
        <v>80</v>
      </c>
      <c r="I418" s="9">
        <f t="shared" si="27"/>
        <v>72.650000000000006</v>
      </c>
      <c r="J418" s="9"/>
      <c r="K418" s="3">
        <v>6</v>
      </c>
      <c r="L418" s="3">
        <v>11</v>
      </c>
    </row>
    <row r="419" spans="1:12" ht="18.75" customHeight="1">
      <c r="A419" s="3" t="str">
        <f>"10522018022613013581827"</f>
        <v>10522018022613013581827</v>
      </c>
      <c r="B419" s="8" t="s">
        <v>18</v>
      </c>
      <c r="C419" s="9" t="str">
        <f t="shared" si="28"/>
        <v>女</v>
      </c>
      <c r="D419" s="9" t="str">
        <f>"341227199702159026"</f>
        <v>341227199702159026</v>
      </c>
      <c r="E419" s="14" t="str">
        <f t="shared" si="29"/>
        <v>护理</v>
      </c>
      <c r="F419" s="9" t="str">
        <f>"2018011329"</f>
        <v>2018011329</v>
      </c>
      <c r="G419" s="9">
        <v>39</v>
      </c>
      <c r="H419" s="9">
        <v>87</v>
      </c>
      <c r="I419" s="9">
        <f t="shared" si="27"/>
        <v>72.599999999999994</v>
      </c>
      <c r="J419" s="9"/>
      <c r="K419" s="3">
        <v>13</v>
      </c>
      <c r="L419" s="3">
        <v>29</v>
      </c>
    </row>
    <row r="420" spans="1:12" ht="18.75" customHeight="1">
      <c r="A420" s="3" t="str">
        <f>"10522018030113483882899"</f>
        <v>10522018030113483882899</v>
      </c>
      <c r="B420" s="8" t="s">
        <v>18</v>
      </c>
      <c r="C420" s="9" t="str">
        <f t="shared" si="28"/>
        <v>女</v>
      </c>
      <c r="D420" s="9" t="str">
        <f>"341223199610083129"</f>
        <v>341223199610083129</v>
      </c>
      <c r="E420" s="14" t="str">
        <f t="shared" si="29"/>
        <v>护理</v>
      </c>
      <c r="F420" s="9" t="str">
        <f>"2018011609"</f>
        <v>2018011609</v>
      </c>
      <c r="G420" s="9">
        <v>43.5</v>
      </c>
      <c r="H420" s="9">
        <v>85</v>
      </c>
      <c r="I420" s="9">
        <f t="shared" si="27"/>
        <v>72.55</v>
      </c>
      <c r="J420" s="9"/>
      <c r="K420" s="3">
        <v>16</v>
      </c>
      <c r="L420" s="3">
        <v>9</v>
      </c>
    </row>
    <row r="421" spans="1:12" ht="18.75" customHeight="1">
      <c r="A421" s="3" t="str">
        <f>"10522018022613243381842"</f>
        <v>10522018022613243381842</v>
      </c>
      <c r="B421" s="8" t="s">
        <v>18</v>
      </c>
      <c r="C421" s="9" t="str">
        <f t="shared" si="28"/>
        <v>女</v>
      </c>
      <c r="D421" s="9" t="str">
        <f>"341227199502158723"</f>
        <v>341227199502158723</v>
      </c>
      <c r="E421" s="14" t="str">
        <f t="shared" si="29"/>
        <v>护理</v>
      </c>
      <c r="F421" s="9" t="str">
        <f>"2018011623"</f>
        <v>2018011623</v>
      </c>
      <c r="G421" s="9">
        <v>27</v>
      </c>
      <c r="H421" s="9">
        <v>92</v>
      </c>
      <c r="I421" s="9">
        <f t="shared" si="27"/>
        <v>72.499999999999986</v>
      </c>
      <c r="J421" s="9"/>
      <c r="K421" s="3">
        <v>16</v>
      </c>
      <c r="L421" s="3">
        <v>23</v>
      </c>
    </row>
    <row r="422" spans="1:12" ht="18.75" customHeight="1">
      <c r="A422" s="3" t="str">
        <f>"10522018022617300281987"</f>
        <v>10522018022617300281987</v>
      </c>
      <c r="B422" s="8" t="s">
        <v>18</v>
      </c>
      <c r="C422" s="9" t="str">
        <f t="shared" si="28"/>
        <v>女</v>
      </c>
      <c r="D422" s="9" t="str">
        <f>"341227199803021544"</f>
        <v>341227199803021544</v>
      </c>
      <c r="E422" s="14" t="str">
        <f t="shared" si="29"/>
        <v>护理</v>
      </c>
      <c r="F422" s="9" t="str">
        <f>"2018010709"</f>
        <v>2018010709</v>
      </c>
      <c r="G422" s="9">
        <v>31.5</v>
      </c>
      <c r="H422" s="9">
        <v>90</v>
      </c>
      <c r="I422" s="9">
        <f t="shared" si="27"/>
        <v>72.449999999999989</v>
      </c>
      <c r="J422" s="9"/>
      <c r="K422" s="3">
        <v>7</v>
      </c>
      <c r="L422" s="3">
        <v>9</v>
      </c>
    </row>
    <row r="423" spans="1:12" ht="18.75" customHeight="1">
      <c r="A423" s="3" t="str">
        <f>"10522018022616022581941"</f>
        <v>10522018022616022581941</v>
      </c>
      <c r="B423" s="8" t="s">
        <v>18</v>
      </c>
      <c r="C423" s="9" t="str">
        <f t="shared" si="28"/>
        <v>女</v>
      </c>
      <c r="D423" s="9" t="str">
        <f>"34122719960125442X"</f>
        <v>34122719960125442X</v>
      </c>
      <c r="E423" s="14" t="str">
        <f t="shared" si="29"/>
        <v>护理</v>
      </c>
      <c r="F423" s="9" t="str">
        <f>"2018011818"</f>
        <v>2018011818</v>
      </c>
      <c r="G423" s="9">
        <v>31.5</v>
      </c>
      <c r="H423" s="9">
        <v>90</v>
      </c>
      <c r="I423" s="9">
        <f t="shared" si="27"/>
        <v>72.449999999999989</v>
      </c>
      <c r="J423" s="9"/>
      <c r="K423" s="3">
        <v>18</v>
      </c>
      <c r="L423" s="3">
        <v>18</v>
      </c>
    </row>
    <row r="424" spans="1:12" ht="18.75" customHeight="1">
      <c r="A424" s="3" t="str">
        <f>"10522018022609442081627"</f>
        <v>10522018022609442081627</v>
      </c>
      <c r="B424" s="8" t="s">
        <v>18</v>
      </c>
      <c r="C424" s="9" t="str">
        <f t="shared" si="28"/>
        <v>女</v>
      </c>
      <c r="D424" s="9" t="str">
        <f>"341203199507103747"</f>
        <v>341203199507103747</v>
      </c>
      <c r="E424" s="14" t="str">
        <f t="shared" si="29"/>
        <v>护理</v>
      </c>
      <c r="F424" s="9" t="str">
        <f>"2018012125"</f>
        <v>2018012125</v>
      </c>
      <c r="G424" s="9">
        <v>31.5</v>
      </c>
      <c r="H424" s="9">
        <v>90</v>
      </c>
      <c r="I424" s="9">
        <f t="shared" si="27"/>
        <v>72.449999999999989</v>
      </c>
      <c r="J424" s="9"/>
      <c r="K424" s="3">
        <v>21</v>
      </c>
      <c r="L424" s="3">
        <v>25</v>
      </c>
    </row>
    <row r="425" spans="1:12" ht="18.75" customHeight="1">
      <c r="A425" s="3" t="str">
        <f>"10522018022711541382202"</f>
        <v>10522018022711541382202</v>
      </c>
      <c r="B425" s="8" t="s">
        <v>18</v>
      </c>
      <c r="C425" s="9" t="str">
        <f t="shared" si="28"/>
        <v>女</v>
      </c>
      <c r="D425" s="9" t="str">
        <f>"341623199412077686"</f>
        <v>341623199412077686</v>
      </c>
      <c r="E425" s="14" t="str">
        <f t="shared" si="29"/>
        <v>护理</v>
      </c>
      <c r="F425" s="9" t="str">
        <f>"2018011027"</f>
        <v>2018011027</v>
      </c>
      <c r="G425" s="9">
        <v>29</v>
      </c>
      <c r="H425" s="9">
        <v>91</v>
      </c>
      <c r="I425" s="9">
        <f t="shared" si="27"/>
        <v>72.399999999999991</v>
      </c>
      <c r="J425" s="9"/>
      <c r="K425" s="3">
        <v>10</v>
      </c>
      <c r="L425" s="3">
        <v>27</v>
      </c>
    </row>
    <row r="426" spans="1:12" ht="18.75" customHeight="1">
      <c r="A426" s="3" t="str">
        <f>"10522018022610423481702"</f>
        <v>10522018022610423481702</v>
      </c>
      <c r="B426" s="8" t="s">
        <v>18</v>
      </c>
      <c r="C426" s="9" t="str">
        <f t="shared" si="28"/>
        <v>女</v>
      </c>
      <c r="D426" s="9" t="str">
        <f>"341621199305191528"</f>
        <v>341621199305191528</v>
      </c>
      <c r="E426" s="14" t="str">
        <f t="shared" si="29"/>
        <v>护理</v>
      </c>
      <c r="F426" s="9" t="str">
        <f>"2018011602"</f>
        <v>2018011602</v>
      </c>
      <c r="G426" s="9">
        <v>33.5</v>
      </c>
      <c r="H426" s="9">
        <v>89</v>
      </c>
      <c r="I426" s="9">
        <f t="shared" si="27"/>
        <v>72.349999999999994</v>
      </c>
      <c r="J426" s="9"/>
      <c r="K426" s="3">
        <v>16</v>
      </c>
      <c r="L426" s="3">
        <v>2</v>
      </c>
    </row>
    <row r="427" spans="1:12" ht="18.75" customHeight="1">
      <c r="A427" s="3" t="str">
        <f>"10522018022714060482250"</f>
        <v>10522018022714060482250</v>
      </c>
      <c r="B427" s="8" t="s">
        <v>18</v>
      </c>
      <c r="C427" s="9" t="str">
        <f t="shared" si="28"/>
        <v>女</v>
      </c>
      <c r="D427" s="9" t="str">
        <f>"34062119951006704X"</f>
        <v>34062119951006704X</v>
      </c>
      <c r="E427" s="14" t="str">
        <f t="shared" si="29"/>
        <v>护理</v>
      </c>
      <c r="F427" s="9" t="str">
        <f>"2018011726"</f>
        <v>2018011726</v>
      </c>
      <c r="G427" s="9">
        <v>47</v>
      </c>
      <c r="H427" s="9">
        <v>83</v>
      </c>
      <c r="I427" s="9">
        <f t="shared" si="27"/>
        <v>72.199999999999989</v>
      </c>
      <c r="J427" s="9"/>
      <c r="K427" s="3">
        <v>17</v>
      </c>
      <c r="L427" s="3">
        <v>26</v>
      </c>
    </row>
    <row r="428" spans="1:12" ht="18.75" customHeight="1">
      <c r="A428" s="3" t="str">
        <f>"10522018022610164881664"</f>
        <v>10522018022610164881664</v>
      </c>
      <c r="B428" s="8" t="s">
        <v>18</v>
      </c>
      <c r="C428" s="9" t="str">
        <f t="shared" si="28"/>
        <v>女</v>
      </c>
      <c r="D428" s="9" t="str">
        <f>"341621199611161589"</f>
        <v>341621199611161589</v>
      </c>
      <c r="E428" s="14" t="str">
        <f t="shared" si="29"/>
        <v>护理</v>
      </c>
      <c r="F428" s="9" t="str">
        <f>"2018011010"</f>
        <v>2018011010</v>
      </c>
      <c r="G428" s="9">
        <v>46.5</v>
      </c>
      <c r="H428" s="9">
        <v>83</v>
      </c>
      <c r="I428" s="9">
        <f t="shared" si="27"/>
        <v>72.05</v>
      </c>
      <c r="J428" s="9"/>
      <c r="K428" s="3">
        <v>10</v>
      </c>
      <c r="L428" s="3">
        <v>10</v>
      </c>
    </row>
    <row r="429" spans="1:12" ht="18.75" customHeight="1">
      <c r="A429" s="3" t="str">
        <f>"10522018030200081883057"</f>
        <v>10522018030200081883057</v>
      </c>
      <c r="B429" s="8" t="s">
        <v>18</v>
      </c>
      <c r="C429" s="9" t="str">
        <f t="shared" si="28"/>
        <v>女</v>
      </c>
      <c r="D429" s="9" t="str">
        <f>"341227199602080425"</f>
        <v>341227199602080425</v>
      </c>
      <c r="E429" s="14" t="str">
        <f t="shared" si="29"/>
        <v>护理</v>
      </c>
      <c r="F429" s="9" t="str">
        <f>"2018010727"</f>
        <v>2018010727</v>
      </c>
      <c r="G429" s="9">
        <v>41.5</v>
      </c>
      <c r="H429" s="9">
        <v>85</v>
      </c>
      <c r="I429" s="9">
        <f t="shared" si="27"/>
        <v>71.949999999999989</v>
      </c>
      <c r="J429" s="9"/>
      <c r="K429" s="3">
        <v>7</v>
      </c>
      <c r="L429" s="3">
        <v>27</v>
      </c>
    </row>
    <row r="430" spans="1:12" ht="18.75" customHeight="1">
      <c r="A430" s="3" t="str">
        <f>"10522018022621442582094"</f>
        <v>10522018022621442582094</v>
      </c>
      <c r="B430" s="8" t="s">
        <v>18</v>
      </c>
      <c r="C430" s="9" t="str">
        <f t="shared" si="28"/>
        <v>女</v>
      </c>
      <c r="D430" s="9" t="str">
        <f>"341227199411079528"</f>
        <v>341227199411079528</v>
      </c>
      <c r="E430" s="14" t="str">
        <f t="shared" si="29"/>
        <v>护理</v>
      </c>
      <c r="F430" s="9" t="str">
        <f>"2018010916"</f>
        <v>2018010916</v>
      </c>
      <c r="G430" s="9">
        <v>41.5</v>
      </c>
      <c r="H430" s="9">
        <v>85</v>
      </c>
      <c r="I430" s="9">
        <f t="shared" si="27"/>
        <v>71.949999999999989</v>
      </c>
      <c r="J430" s="9"/>
      <c r="K430" s="3">
        <v>9</v>
      </c>
      <c r="L430" s="3">
        <v>16</v>
      </c>
    </row>
    <row r="431" spans="1:12" ht="18.75" customHeight="1">
      <c r="A431" s="3" t="str">
        <f>"10522018022609543481638"</f>
        <v>10522018022609543481638</v>
      </c>
      <c r="B431" s="8" t="s">
        <v>18</v>
      </c>
      <c r="C431" s="9" t="str">
        <f t="shared" si="28"/>
        <v>女</v>
      </c>
      <c r="D431" s="9" t="str">
        <f>"341281199605186100"</f>
        <v>341281199605186100</v>
      </c>
      <c r="E431" s="14" t="str">
        <f t="shared" si="29"/>
        <v>护理</v>
      </c>
      <c r="F431" s="9" t="str">
        <f>"2018011702"</f>
        <v>2018011702</v>
      </c>
      <c r="G431" s="9">
        <v>34.5</v>
      </c>
      <c r="H431" s="9">
        <v>88</v>
      </c>
      <c r="I431" s="9">
        <f t="shared" si="27"/>
        <v>71.949999999999989</v>
      </c>
      <c r="J431" s="9"/>
      <c r="K431" s="3">
        <v>17</v>
      </c>
      <c r="L431" s="3">
        <v>2</v>
      </c>
    </row>
    <row r="432" spans="1:12" ht="18.75" customHeight="1">
      <c r="A432" s="3" t="str">
        <f>"10522018030112444782875"</f>
        <v>10522018030112444782875</v>
      </c>
      <c r="B432" s="8" t="s">
        <v>18</v>
      </c>
      <c r="C432" s="9" t="str">
        <f t="shared" si="28"/>
        <v>女</v>
      </c>
      <c r="D432" s="9" t="str">
        <f>"341223199502050522"</f>
        <v>341223199502050522</v>
      </c>
      <c r="E432" s="14" t="str">
        <f t="shared" si="29"/>
        <v>护理</v>
      </c>
      <c r="F432" s="9" t="str">
        <f>"2018011002"</f>
        <v>2018011002</v>
      </c>
      <c r="G432" s="9">
        <v>50.5</v>
      </c>
      <c r="H432" s="9">
        <v>81</v>
      </c>
      <c r="I432" s="9">
        <f t="shared" si="27"/>
        <v>71.849999999999994</v>
      </c>
      <c r="J432" s="9"/>
      <c r="K432" s="3">
        <v>10</v>
      </c>
      <c r="L432" s="3">
        <v>2</v>
      </c>
    </row>
    <row r="433" spans="1:12" ht="18.75" customHeight="1">
      <c r="A433" s="3" t="str">
        <f>"10522018030112460782876"</f>
        <v>10522018030112460782876</v>
      </c>
      <c r="B433" s="8" t="s">
        <v>18</v>
      </c>
      <c r="C433" s="9" t="str">
        <f t="shared" si="28"/>
        <v>女</v>
      </c>
      <c r="D433" s="9" t="str">
        <f>"341225199509026325"</f>
        <v>341225199509026325</v>
      </c>
      <c r="E433" s="14" t="str">
        <f t="shared" si="29"/>
        <v>护理</v>
      </c>
      <c r="F433" s="9" t="str">
        <f>"2018010827"</f>
        <v>2018010827</v>
      </c>
      <c r="G433" s="9">
        <v>34</v>
      </c>
      <c r="H433" s="9">
        <v>88</v>
      </c>
      <c r="I433" s="9">
        <f t="shared" si="27"/>
        <v>71.8</v>
      </c>
      <c r="J433" s="9"/>
      <c r="K433" s="3">
        <v>8</v>
      </c>
      <c r="L433" s="3">
        <v>27</v>
      </c>
    </row>
    <row r="434" spans="1:12" ht="18.75" customHeight="1">
      <c r="A434" s="3" t="str">
        <f>"10522018022720004882383"</f>
        <v>10522018022720004882383</v>
      </c>
      <c r="B434" s="8" t="s">
        <v>18</v>
      </c>
      <c r="C434" s="9" t="str">
        <f t="shared" si="28"/>
        <v>女</v>
      </c>
      <c r="D434" s="9" t="str">
        <f>"340602199612152422"</f>
        <v>340602199612152422</v>
      </c>
      <c r="E434" s="14" t="str">
        <f t="shared" si="29"/>
        <v>护理</v>
      </c>
      <c r="F434" s="9" t="str">
        <f>"2018011324"</f>
        <v>2018011324</v>
      </c>
      <c r="G434" s="9">
        <v>36</v>
      </c>
      <c r="H434" s="9">
        <v>87</v>
      </c>
      <c r="I434" s="9">
        <f t="shared" si="27"/>
        <v>71.7</v>
      </c>
      <c r="J434" s="9"/>
      <c r="K434" s="3">
        <v>13</v>
      </c>
      <c r="L434" s="3">
        <v>24</v>
      </c>
    </row>
    <row r="435" spans="1:12" ht="18.75" customHeight="1">
      <c r="A435" s="3" t="str">
        <f>"10522018030111463082850"</f>
        <v>10522018030111463082850</v>
      </c>
      <c r="B435" s="8" t="s">
        <v>18</v>
      </c>
      <c r="C435" s="9" t="str">
        <f t="shared" si="28"/>
        <v>女</v>
      </c>
      <c r="D435" s="9" t="str">
        <f>"411426199508061247"</f>
        <v>411426199508061247</v>
      </c>
      <c r="E435" s="14" t="str">
        <f t="shared" si="29"/>
        <v>护理</v>
      </c>
      <c r="F435" s="9" t="str">
        <f>"2018011922"</f>
        <v>2018011922</v>
      </c>
      <c r="G435" s="9">
        <v>43</v>
      </c>
      <c r="H435" s="9">
        <v>84</v>
      </c>
      <c r="I435" s="9">
        <f t="shared" si="27"/>
        <v>71.7</v>
      </c>
      <c r="J435" s="9"/>
      <c r="K435" s="3">
        <v>19</v>
      </c>
      <c r="L435" s="3">
        <v>22</v>
      </c>
    </row>
    <row r="436" spans="1:12" ht="18.75" customHeight="1">
      <c r="A436" s="3" t="str">
        <f>"10522018022800312982453"</f>
        <v>10522018022800312982453</v>
      </c>
      <c r="B436" s="8" t="s">
        <v>18</v>
      </c>
      <c r="C436" s="9" t="str">
        <f t="shared" si="28"/>
        <v>女</v>
      </c>
      <c r="D436" s="9" t="str">
        <f>"341223199606025321"</f>
        <v>341223199606025321</v>
      </c>
      <c r="E436" s="14" t="str">
        <f t="shared" si="29"/>
        <v>护理</v>
      </c>
      <c r="F436" s="9" t="str">
        <f>"2018010612"</f>
        <v>2018010612</v>
      </c>
      <c r="G436" s="9">
        <v>40.5</v>
      </c>
      <c r="H436" s="9">
        <v>85</v>
      </c>
      <c r="I436" s="9">
        <f t="shared" si="27"/>
        <v>71.649999999999991</v>
      </c>
      <c r="J436" s="9"/>
      <c r="K436" s="3">
        <v>6</v>
      </c>
      <c r="L436" s="3">
        <v>12</v>
      </c>
    </row>
    <row r="437" spans="1:12" ht="18.75" customHeight="1">
      <c r="A437" s="3" t="str">
        <f>"10522018022809573582496"</f>
        <v>10522018022809573582496</v>
      </c>
      <c r="B437" s="8" t="s">
        <v>18</v>
      </c>
      <c r="C437" s="9" t="str">
        <f t="shared" si="28"/>
        <v>女</v>
      </c>
      <c r="D437" s="9" t="str">
        <f>"341621199707241727"</f>
        <v>341621199707241727</v>
      </c>
      <c r="E437" s="14" t="str">
        <f t="shared" si="29"/>
        <v>护理</v>
      </c>
      <c r="F437" s="9" t="str">
        <f>"2018011522"</f>
        <v>2018011522</v>
      </c>
      <c r="G437" s="9">
        <v>26.5</v>
      </c>
      <c r="H437" s="9">
        <v>91</v>
      </c>
      <c r="I437" s="9">
        <f t="shared" si="27"/>
        <v>71.649999999999991</v>
      </c>
      <c r="J437" s="9"/>
      <c r="K437" s="3">
        <v>15</v>
      </c>
      <c r="L437" s="3">
        <v>22</v>
      </c>
    </row>
    <row r="438" spans="1:12" ht="18.75" customHeight="1">
      <c r="A438" s="3" t="str">
        <f>"10522018022819053182698"</f>
        <v>10522018022819053182698</v>
      </c>
      <c r="B438" s="8" t="s">
        <v>18</v>
      </c>
      <c r="C438" s="9" t="str">
        <f t="shared" si="28"/>
        <v>女</v>
      </c>
      <c r="D438" s="9" t="str">
        <f>"34122719970228672X"</f>
        <v>34122719970228672X</v>
      </c>
      <c r="E438" s="14" t="str">
        <f t="shared" si="29"/>
        <v>护理</v>
      </c>
      <c r="F438" s="9" t="str">
        <f>"2018012020"</f>
        <v>2018012020</v>
      </c>
      <c r="G438" s="9">
        <v>26.5</v>
      </c>
      <c r="H438" s="9">
        <v>91</v>
      </c>
      <c r="I438" s="9">
        <f t="shared" si="27"/>
        <v>71.649999999999991</v>
      </c>
      <c r="J438" s="9"/>
      <c r="K438" s="3">
        <v>20</v>
      </c>
      <c r="L438" s="3">
        <v>20</v>
      </c>
    </row>
    <row r="439" spans="1:12" ht="18.75" customHeight="1">
      <c r="A439" s="3" t="str">
        <f>"10522018030215015083176"</f>
        <v>10522018030215015083176</v>
      </c>
      <c r="B439" s="8" t="s">
        <v>18</v>
      </c>
      <c r="C439" s="9" t="str">
        <f t="shared" si="28"/>
        <v>女</v>
      </c>
      <c r="D439" s="9" t="str">
        <f>"341623199405083084"</f>
        <v>341623199405083084</v>
      </c>
      <c r="E439" s="14" t="str">
        <f t="shared" si="29"/>
        <v>护理</v>
      </c>
      <c r="F439" s="9" t="str">
        <f>"2018012023"</f>
        <v>2018012023</v>
      </c>
      <c r="G439" s="9">
        <v>31</v>
      </c>
      <c r="H439" s="9">
        <v>89</v>
      </c>
      <c r="I439" s="9">
        <f t="shared" si="27"/>
        <v>71.599999999999994</v>
      </c>
      <c r="J439" s="9"/>
      <c r="K439" s="3">
        <v>20</v>
      </c>
      <c r="L439" s="3">
        <v>23</v>
      </c>
    </row>
    <row r="440" spans="1:12" ht="18.75" customHeight="1">
      <c r="A440" s="3" t="str">
        <f>"10522018022815450082638"</f>
        <v>10522018022815450082638</v>
      </c>
      <c r="B440" s="8" t="s">
        <v>18</v>
      </c>
      <c r="C440" s="9" t="str">
        <f t="shared" si="28"/>
        <v>女</v>
      </c>
      <c r="D440" s="9" t="str">
        <f>"34122319940503212X"</f>
        <v>34122319940503212X</v>
      </c>
      <c r="E440" s="14" t="str">
        <f t="shared" si="29"/>
        <v>护理</v>
      </c>
      <c r="F440" s="9" t="str">
        <f>"2018010718"</f>
        <v>2018010718</v>
      </c>
      <c r="G440" s="9">
        <v>21.5</v>
      </c>
      <c r="H440" s="9">
        <v>93</v>
      </c>
      <c r="I440" s="9">
        <f t="shared" si="27"/>
        <v>71.55</v>
      </c>
      <c r="J440" s="9"/>
      <c r="K440" s="3">
        <v>7</v>
      </c>
      <c r="L440" s="3">
        <v>18</v>
      </c>
    </row>
    <row r="441" spans="1:12" ht="18.75" customHeight="1">
      <c r="A441" s="3" t="str">
        <f>"10522018022609210081601"</f>
        <v>10522018022609210081601</v>
      </c>
      <c r="B441" s="8" t="s">
        <v>18</v>
      </c>
      <c r="C441" s="9" t="str">
        <f t="shared" si="28"/>
        <v>女</v>
      </c>
      <c r="D441" s="9" t="str">
        <f>"341224199710189242"</f>
        <v>341224199710189242</v>
      </c>
      <c r="E441" s="14" t="str">
        <f t="shared" si="29"/>
        <v>护理</v>
      </c>
      <c r="F441" s="9" t="str">
        <f>"2018012010"</f>
        <v>2018012010</v>
      </c>
      <c r="G441" s="9">
        <v>28.5</v>
      </c>
      <c r="H441" s="9">
        <v>90</v>
      </c>
      <c r="I441" s="9">
        <f t="shared" si="27"/>
        <v>71.55</v>
      </c>
      <c r="J441" s="9"/>
      <c r="K441" s="3">
        <v>20</v>
      </c>
      <c r="L441" s="3">
        <v>10</v>
      </c>
    </row>
    <row r="442" spans="1:12" ht="18.75" customHeight="1">
      <c r="A442" s="3" t="str">
        <f>"10522018022611000081727"</f>
        <v>10522018022611000081727</v>
      </c>
      <c r="B442" s="8" t="s">
        <v>18</v>
      </c>
      <c r="C442" s="9" t="str">
        <f t="shared" si="28"/>
        <v>女</v>
      </c>
      <c r="D442" s="9" t="str">
        <f>"341227199412032369"</f>
        <v>341227199412032369</v>
      </c>
      <c r="E442" s="14" t="str">
        <f t="shared" si="29"/>
        <v>护理</v>
      </c>
      <c r="F442" s="9" t="str">
        <f>"2018012126"</f>
        <v>2018012126</v>
      </c>
      <c r="G442" s="9">
        <v>42.5</v>
      </c>
      <c r="H442" s="9">
        <v>84</v>
      </c>
      <c r="I442" s="9">
        <f t="shared" si="27"/>
        <v>71.55</v>
      </c>
      <c r="J442" s="9"/>
      <c r="K442" s="3">
        <v>21</v>
      </c>
      <c r="L442" s="3">
        <v>26</v>
      </c>
    </row>
    <row r="443" spans="1:12" ht="18.75" customHeight="1">
      <c r="A443" s="3" t="str">
        <f>"10522018022609254181608"</f>
        <v>10522018022609254181608</v>
      </c>
      <c r="B443" s="8" t="s">
        <v>18</v>
      </c>
      <c r="C443" s="9" t="str">
        <f t="shared" si="28"/>
        <v>女</v>
      </c>
      <c r="D443" s="9" t="str">
        <f>"341223199602202327"</f>
        <v>341223199602202327</v>
      </c>
      <c r="E443" s="14" t="str">
        <f t="shared" si="29"/>
        <v>护理</v>
      </c>
      <c r="F443" s="9" t="str">
        <f>"2018010817"</f>
        <v>2018010817</v>
      </c>
      <c r="G443" s="9">
        <v>47</v>
      </c>
      <c r="H443" s="9">
        <v>82</v>
      </c>
      <c r="I443" s="9">
        <f t="shared" si="27"/>
        <v>71.5</v>
      </c>
      <c r="J443" s="9"/>
      <c r="K443" s="3">
        <v>8</v>
      </c>
      <c r="L443" s="3">
        <v>17</v>
      </c>
    </row>
    <row r="444" spans="1:12" ht="18.75" customHeight="1">
      <c r="A444" s="3" t="str">
        <f>"10522018022810250282509"</f>
        <v>10522018022810250282509</v>
      </c>
      <c r="B444" s="8" t="s">
        <v>18</v>
      </c>
      <c r="C444" s="9" t="str">
        <f t="shared" si="28"/>
        <v>女</v>
      </c>
      <c r="D444" s="9" t="str">
        <f>"341281199702021586"</f>
        <v>341281199702021586</v>
      </c>
      <c r="E444" s="14" t="str">
        <f t="shared" ref="E444:E472" si="30">"护理"</f>
        <v>护理</v>
      </c>
      <c r="F444" s="9" t="str">
        <f>"2018012022"</f>
        <v>2018012022</v>
      </c>
      <c r="G444" s="9">
        <v>35</v>
      </c>
      <c r="H444" s="9">
        <v>87</v>
      </c>
      <c r="I444" s="9">
        <f t="shared" si="27"/>
        <v>71.400000000000006</v>
      </c>
      <c r="J444" s="9"/>
      <c r="K444" s="3">
        <v>20</v>
      </c>
      <c r="L444" s="3">
        <v>22</v>
      </c>
    </row>
    <row r="445" spans="1:12" ht="18.75" customHeight="1">
      <c r="A445" s="3" t="str">
        <f>"10522018022615454081926"</f>
        <v>10522018022615454081926</v>
      </c>
      <c r="B445" s="8" t="s">
        <v>18</v>
      </c>
      <c r="C445" s="9" t="str">
        <f t="shared" si="28"/>
        <v>女</v>
      </c>
      <c r="D445" s="9" t="str">
        <f>"341223199705034522"</f>
        <v>341223199705034522</v>
      </c>
      <c r="E445" s="14" t="str">
        <f t="shared" si="30"/>
        <v>护理</v>
      </c>
      <c r="F445" s="9" t="str">
        <f>"2018011004"</f>
        <v>2018011004</v>
      </c>
      <c r="G445" s="9">
        <v>42</v>
      </c>
      <c r="H445" s="9">
        <v>84</v>
      </c>
      <c r="I445" s="9">
        <f t="shared" si="27"/>
        <v>71.399999999999991</v>
      </c>
      <c r="J445" s="9"/>
      <c r="K445" s="3">
        <v>10</v>
      </c>
      <c r="L445" s="3">
        <v>4</v>
      </c>
    </row>
    <row r="446" spans="1:12" ht="18.75" customHeight="1">
      <c r="A446" s="3" t="str">
        <f>"10522018022620251082055"</f>
        <v>10522018022620251082055</v>
      </c>
      <c r="B446" s="8" t="s">
        <v>18</v>
      </c>
      <c r="C446" s="9" t="str">
        <f t="shared" si="28"/>
        <v>女</v>
      </c>
      <c r="D446" s="9" t="str">
        <f>"34162319930402902X"</f>
        <v>34162319930402902X</v>
      </c>
      <c r="E446" s="14" t="str">
        <f t="shared" si="30"/>
        <v>护理</v>
      </c>
      <c r="F446" s="9" t="str">
        <f>"2018011804"</f>
        <v>2018011804</v>
      </c>
      <c r="G446" s="9">
        <v>39.5</v>
      </c>
      <c r="H446" s="9">
        <v>85</v>
      </c>
      <c r="I446" s="9">
        <f t="shared" si="27"/>
        <v>71.349999999999994</v>
      </c>
      <c r="J446" s="9"/>
      <c r="K446" s="3">
        <v>18</v>
      </c>
      <c r="L446" s="3">
        <v>4</v>
      </c>
    </row>
    <row r="447" spans="1:12" ht="18.75" customHeight="1">
      <c r="A447" s="3" t="str">
        <f>"10522018030111040382835"</f>
        <v>10522018030111040382835</v>
      </c>
      <c r="B447" s="8" t="s">
        <v>18</v>
      </c>
      <c r="C447" s="9" t="str">
        <f t="shared" si="28"/>
        <v>女</v>
      </c>
      <c r="D447" s="9" t="str">
        <f>"340603199508154221"</f>
        <v>340603199508154221</v>
      </c>
      <c r="E447" s="14" t="str">
        <f t="shared" si="30"/>
        <v>护理</v>
      </c>
      <c r="F447" s="9" t="str">
        <f>"2018011216"</f>
        <v>2018011216</v>
      </c>
      <c r="G447" s="9">
        <v>37</v>
      </c>
      <c r="H447" s="9">
        <v>86</v>
      </c>
      <c r="I447" s="9">
        <f t="shared" si="27"/>
        <v>71.3</v>
      </c>
      <c r="J447" s="9"/>
      <c r="K447" s="3">
        <v>12</v>
      </c>
      <c r="L447" s="3">
        <v>16</v>
      </c>
    </row>
    <row r="448" spans="1:12" ht="18.75" customHeight="1">
      <c r="A448" s="3" t="str">
        <f>"10522018022617370681989"</f>
        <v>10522018022617370681989</v>
      </c>
      <c r="B448" s="8" t="s">
        <v>18</v>
      </c>
      <c r="C448" s="9" t="str">
        <f t="shared" si="28"/>
        <v>女</v>
      </c>
      <c r="D448" s="9" t="str">
        <f>"340621199304213624"</f>
        <v>340621199304213624</v>
      </c>
      <c r="E448" s="14" t="str">
        <f t="shared" si="30"/>
        <v>护理</v>
      </c>
      <c r="F448" s="9" t="str">
        <f>"2018012124"</f>
        <v>2018012124</v>
      </c>
      <c r="G448" s="9">
        <v>48.5</v>
      </c>
      <c r="H448" s="9">
        <v>81</v>
      </c>
      <c r="I448" s="9">
        <f t="shared" si="27"/>
        <v>71.25</v>
      </c>
      <c r="J448" s="9"/>
      <c r="K448" s="3">
        <v>21</v>
      </c>
      <c r="L448" s="3">
        <v>24</v>
      </c>
    </row>
    <row r="449" spans="1:12" ht="18.75" customHeight="1">
      <c r="A449" s="3" t="str">
        <f>"10522018022813254982590"</f>
        <v>10522018022813254982590</v>
      </c>
      <c r="B449" s="8" t="s">
        <v>18</v>
      </c>
      <c r="C449" s="9" t="str">
        <f t="shared" si="28"/>
        <v>女</v>
      </c>
      <c r="D449" s="9" t="str">
        <f>"341227199607240221"</f>
        <v>341227199607240221</v>
      </c>
      <c r="E449" s="14" t="str">
        <f t="shared" si="30"/>
        <v>护理</v>
      </c>
      <c r="F449" s="9" t="str">
        <f>"2018010805"</f>
        <v>2018010805</v>
      </c>
      <c r="G449" s="9">
        <v>39</v>
      </c>
      <c r="H449" s="9">
        <v>85</v>
      </c>
      <c r="I449" s="9">
        <f t="shared" si="27"/>
        <v>71.199999999999989</v>
      </c>
      <c r="J449" s="9"/>
      <c r="K449" s="3">
        <v>8</v>
      </c>
      <c r="L449" s="3">
        <v>5</v>
      </c>
    </row>
    <row r="450" spans="1:12" ht="18.75" customHeight="1">
      <c r="A450" s="3" t="str">
        <f>"10522018022611112381740"</f>
        <v>10522018022611112381740</v>
      </c>
      <c r="B450" s="8" t="s">
        <v>18</v>
      </c>
      <c r="C450" s="9" t="str">
        <f t="shared" si="28"/>
        <v>女</v>
      </c>
      <c r="D450" s="9" t="str">
        <f>"341223199303303929"</f>
        <v>341223199303303929</v>
      </c>
      <c r="E450" s="14" t="str">
        <f t="shared" si="30"/>
        <v>护理</v>
      </c>
      <c r="F450" s="9" t="str">
        <f>"2018011722"</f>
        <v>2018011722</v>
      </c>
      <c r="G450" s="9">
        <v>34</v>
      </c>
      <c r="H450" s="9">
        <v>87</v>
      </c>
      <c r="I450" s="9">
        <f t="shared" si="27"/>
        <v>71.099999999999994</v>
      </c>
      <c r="J450" s="9"/>
      <c r="K450" s="3">
        <v>17</v>
      </c>
      <c r="L450" s="3">
        <v>22</v>
      </c>
    </row>
    <row r="451" spans="1:12" ht="18.75" customHeight="1">
      <c r="A451" s="3" t="str">
        <f>"10522018030122182883046"</f>
        <v>10522018030122182883046</v>
      </c>
      <c r="B451" s="8" t="s">
        <v>18</v>
      </c>
      <c r="C451" s="9" t="str">
        <f t="shared" si="28"/>
        <v>女</v>
      </c>
      <c r="D451" s="9" t="str">
        <f>"34122519950312512X"</f>
        <v>34122519950312512X</v>
      </c>
      <c r="E451" s="14" t="str">
        <f t="shared" si="30"/>
        <v>护理</v>
      </c>
      <c r="F451" s="9" t="str">
        <f>"2018011301"</f>
        <v>2018011301</v>
      </c>
      <c r="G451" s="9">
        <v>31.5</v>
      </c>
      <c r="H451" s="9">
        <v>88</v>
      </c>
      <c r="I451" s="9">
        <f t="shared" ref="I451:I514" si="31">G451*0.3+H451*0.7</f>
        <v>71.05</v>
      </c>
      <c r="J451" s="9"/>
      <c r="K451" s="3">
        <v>13</v>
      </c>
      <c r="L451" s="3">
        <v>1</v>
      </c>
    </row>
    <row r="452" spans="1:12" ht="18.75" customHeight="1">
      <c r="A452" s="3" t="str">
        <f>"10522018022713135382229"</f>
        <v>10522018022713135382229</v>
      </c>
      <c r="B452" s="8" t="s">
        <v>18</v>
      </c>
      <c r="C452" s="9" t="str">
        <f t="shared" si="28"/>
        <v>女</v>
      </c>
      <c r="D452" s="9" t="str">
        <f>"341227199502180744"</f>
        <v>341227199502180744</v>
      </c>
      <c r="E452" s="14" t="str">
        <f t="shared" si="30"/>
        <v>护理</v>
      </c>
      <c r="F452" s="9" t="str">
        <f>"2018011318"</f>
        <v>2018011318</v>
      </c>
      <c r="G452" s="9">
        <v>36</v>
      </c>
      <c r="H452" s="9">
        <v>86</v>
      </c>
      <c r="I452" s="9">
        <f t="shared" si="31"/>
        <v>71</v>
      </c>
      <c r="J452" s="9"/>
      <c r="K452" s="3">
        <v>13</v>
      </c>
      <c r="L452" s="3">
        <v>18</v>
      </c>
    </row>
    <row r="453" spans="1:12" ht="18.75" customHeight="1">
      <c r="A453" s="3" t="str">
        <f>"10522018030115263682930"</f>
        <v>10522018030115263682930</v>
      </c>
      <c r="B453" s="8" t="s">
        <v>18</v>
      </c>
      <c r="C453" s="9" t="str">
        <f t="shared" si="28"/>
        <v>女</v>
      </c>
      <c r="D453" s="9" t="str">
        <f>"341281199608290683"</f>
        <v>341281199608290683</v>
      </c>
      <c r="E453" s="14" t="str">
        <f t="shared" si="30"/>
        <v>护理</v>
      </c>
      <c r="F453" s="9" t="str">
        <f>"2018011327"</f>
        <v>2018011327</v>
      </c>
      <c r="G453" s="9">
        <v>43</v>
      </c>
      <c r="H453" s="9">
        <v>83</v>
      </c>
      <c r="I453" s="9">
        <f t="shared" si="31"/>
        <v>71</v>
      </c>
      <c r="J453" s="9"/>
      <c r="K453" s="3">
        <v>13</v>
      </c>
      <c r="L453" s="3">
        <v>27</v>
      </c>
    </row>
    <row r="454" spans="1:12" ht="18.75" customHeight="1">
      <c r="A454" s="3" t="str">
        <f>"10522018030111562682857"</f>
        <v>10522018030111562682857</v>
      </c>
      <c r="B454" s="8" t="s">
        <v>18</v>
      </c>
      <c r="C454" s="9" t="str">
        <f t="shared" si="28"/>
        <v>女</v>
      </c>
      <c r="D454" s="9" t="str">
        <f>"341224199401280042"</f>
        <v>341224199401280042</v>
      </c>
      <c r="E454" s="14" t="str">
        <f t="shared" si="30"/>
        <v>护理</v>
      </c>
      <c r="F454" s="9" t="str">
        <f>"2018010808"</f>
        <v>2018010808</v>
      </c>
      <c r="G454" s="9">
        <v>38</v>
      </c>
      <c r="H454" s="9">
        <v>85</v>
      </c>
      <c r="I454" s="9">
        <f t="shared" si="31"/>
        <v>70.899999999999991</v>
      </c>
      <c r="J454" s="9"/>
      <c r="K454" s="3">
        <v>8</v>
      </c>
      <c r="L454" s="3">
        <v>8</v>
      </c>
    </row>
    <row r="455" spans="1:12" ht="18.75" customHeight="1">
      <c r="A455" s="3" t="str">
        <f>"10522018022614334781885"</f>
        <v>10522018022614334781885</v>
      </c>
      <c r="B455" s="8" t="s">
        <v>18</v>
      </c>
      <c r="C455" s="9" t="str">
        <f t="shared" si="28"/>
        <v>女</v>
      </c>
      <c r="D455" s="9" t="str">
        <f>"341224199606286827"</f>
        <v>341224199606286827</v>
      </c>
      <c r="E455" s="14" t="str">
        <f t="shared" si="30"/>
        <v>护理</v>
      </c>
      <c r="F455" s="9" t="str">
        <f>"2018011313"</f>
        <v>2018011313</v>
      </c>
      <c r="G455" s="9">
        <v>38</v>
      </c>
      <c r="H455" s="9">
        <v>85</v>
      </c>
      <c r="I455" s="9">
        <f t="shared" si="31"/>
        <v>70.899999999999991</v>
      </c>
      <c r="J455" s="9"/>
      <c r="K455" s="3">
        <v>13</v>
      </c>
      <c r="L455" s="3">
        <v>13</v>
      </c>
    </row>
    <row r="456" spans="1:12" ht="18.75" customHeight="1">
      <c r="A456" s="3" t="str">
        <f>"10522018022815484082641"</f>
        <v>10522018022815484082641</v>
      </c>
      <c r="B456" s="8" t="s">
        <v>18</v>
      </c>
      <c r="C456" s="9" t="str">
        <f t="shared" si="28"/>
        <v>女</v>
      </c>
      <c r="D456" s="9" t="str">
        <f>"341281199412108640"</f>
        <v>341281199412108640</v>
      </c>
      <c r="E456" s="14" t="str">
        <f t="shared" si="30"/>
        <v>护理</v>
      </c>
      <c r="F456" s="9" t="str">
        <f>"2018011310"</f>
        <v>2018011310</v>
      </c>
      <c r="G456" s="9">
        <v>28.5</v>
      </c>
      <c r="H456" s="9">
        <v>89</v>
      </c>
      <c r="I456" s="9">
        <f t="shared" si="31"/>
        <v>70.849999999999994</v>
      </c>
      <c r="J456" s="9"/>
      <c r="K456" s="3">
        <v>13</v>
      </c>
      <c r="L456" s="3">
        <v>10</v>
      </c>
    </row>
    <row r="457" spans="1:12" ht="18.75" customHeight="1">
      <c r="A457" s="3" t="str">
        <f>"10522018022710025782161"</f>
        <v>10522018022710025782161</v>
      </c>
      <c r="B457" s="8" t="s">
        <v>18</v>
      </c>
      <c r="C457" s="9" t="str">
        <f t="shared" si="28"/>
        <v>女</v>
      </c>
      <c r="D457" s="9" t="str">
        <f>"341281199611091028"</f>
        <v>341281199611091028</v>
      </c>
      <c r="E457" s="14" t="str">
        <f t="shared" si="30"/>
        <v>护理</v>
      </c>
      <c r="F457" s="9" t="str">
        <f>"2018010625"</f>
        <v>2018010625</v>
      </c>
      <c r="G457" s="9">
        <v>26</v>
      </c>
      <c r="H457" s="9">
        <v>90</v>
      </c>
      <c r="I457" s="9">
        <f t="shared" si="31"/>
        <v>70.8</v>
      </c>
      <c r="J457" s="9"/>
      <c r="K457" s="3">
        <v>6</v>
      </c>
      <c r="L457" s="3">
        <v>25</v>
      </c>
    </row>
    <row r="458" spans="1:12" ht="18.75" customHeight="1">
      <c r="A458" s="3" t="str">
        <f>"10522018022614322381884"</f>
        <v>10522018022614322381884</v>
      </c>
      <c r="B458" s="8" t="s">
        <v>18</v>
      </c>
      <c r="C458" s="9" t="str">
        <f t="shared" ref="C458:C521" si="32">"女"</f>
        <v>女</v>
      </c>
      <c r="D458" s="9" t="str">
        <f>"341223199610105527"</f>
        <v>341223199610105527</v>
      </c>
      <c r="E458" s="14" t="str">
        <f t="shared" si="30"/>
        <v>护理</v>
      </c>
      <c r="F458" s="9" t="str">
        <f>"2018012007"</f>
        <v>2018012007</v>
      </c>
      <c r="G458" s="9">
        <v>33</v>
      </c>
      <c r="H458" s="9">
        <v>87</v>
      </c>
      <c r="I458" s="9">
        <f t="shared" si="31"/>
        <v>70.8</v>
      </c>
      <c r="J458" s="9"/>
      <c r="K458" s="3">
        <v>20</v>
      </c>
      <c r="L458" s="3">
        <v>7</v>
      </c>
    </row>
    <row r="459" spans="1:12" ht="18.75" customHeight="1">
      <c r="A459" s="3" t="str">
        <f>"10522018022810372382516"</f>
        <v>10522018022810372382516</v>
      </c>
      <c r="B459" s="8" t="s">
        <v>18</v>
      </c>
      <c r="C459" s="9" t="str">
        <f t="shared" si="32"/>
        <v>女</v>
      </c>
      <c r="D459" s="9" t="str">
        <f>"34122719960407482X"</f>
        <v>34122719960407482X</v>
      </c>
      <c r="E459" s="14" t="str">
        <f t="shared" si="30"/>
        <v>护理</v>
      </c>
      <c r="F459" s="9" t="str">
        <f>"2018012202"</f>
        <v>2018012202</v>
      </c>
      <c r="G459" s="9">
        <v>40</v>
      </c>
      <c r="H459" s="9">
        <v>84</v>
      </c>
      <c r="I459" s="9">
        <f t="shared" si="31"/>
        <v>70.8</v>
      </c>
      <c r="J459" s="9"/>
      <c r="K459" s="3">
        <v>22</v>
      </c>
      <c r="L459" s="3">
        <v>2</v>
      </c>
    </row>
    <row r="460" spans="1:12" ht="18.75" customHeight="1">
      <c r="A460" s="3" t="str">
        <f>"10522018022620095782049"</f>
        <v>10522018022620095782049</v>
      </c>
      <c r="B460" s="8" t="s">
        <v>18</v>
      </c>
      <c r="C460" s="9" t="str">
        <f t="shared" si="32"/>
        <v>女</v>
      </c>
      <c r="D460" s="9" t="str">
        <f>"341621199605201345"</f>
        <v>341621199605201345</v>
      </c>
      <c r="E460" s="14" t="str">
        <f t="shared" si="30"/>
        <v>护理</v>
      </c>
      <c r="F460" s="9" t="str">
        <f>"2018011809"</f>
        <v>2018011809</v>
      </c>
      <c r="G460" s="9">
        <v>44.5</v>
      </c>
      <c r="H460" s="9">
        <v>82</v>
      </c>
      <c r="I460" s="9">
        <f t="shared" si="31"/>
        <v>70.75</v>
      </c>
      <c r="J460" s="9"/>
      <c r="K460" s="3">
        <v>18</v>
      </c>
      <c r="L460" s="3">
        <v>9</v>
      </c>
    </row>
    <row r="461" spans="1:12" ht="18.75" customHeight="1">
      <c r="A461" s="3" t="str">
        <f>"10522018022621183182084"</f>
        <v>10522018022621183182084</v>
      </c>
      <c r="B461" s="8" t="s">
        <v>18</v>
      </c>
      <c r="C461" s="9" t="str">
        <f t="shared" si="32"/>
        <v>女</v>
      </c>
      <c r="D461" s="9" t="str">
        <f>"341281199710141027"</f>
        <v>341281199710141027</v>
      </c>
      <c r="E461" s="14" t="str">
        <f t="shared" si="30"/>
        <v>护理</v>
      </c>
      <c r="F461" s="9" t="str">
        <f>"2018011303"</f>
        <v>2018011303</v>
      </c>
      <c r="G461" s="9">
        <v>49</v>
      </c>
      <c r="H461" s="9">
        <v>80</v>
      </c>
      <c r="I461" s="9">
        <f t="shared" si="31"/>
        <v>70.7</v>
      </c>
      <c r="J461" s="9"/>
      <c r="K461" s="3">
        <v>13</v>
      </c>
      <c r="L461" s="3">
        <v>3</v>
      </c>
    </row>
    <row r="462" spans="1:12" ht="18.75" customHeight="1">
      <c r="A462" s="3" t="str">
        <f>"10522018022613360281850"</f>
        <v>10522018022613360281850</v>
      </c>
      <c r="B462" s="8" t="s">
        <v>18</v>
      </c>
      <c r="C462" s="9" t="str">
        <f t="shared" si="32"/>
        <v>女</v>
      </c>
      <c r="D462" s="9" t="str">
        <f>"341621199306183925"</f>
        <v>341621199306183925</v>
      </c>
      <c r="E462" s="14" t="str">
        <f t="shared" si="30"/>
        <v>护理</v>
      </c>
      <c r="F462" s="9" t="str">
        <f>"2018010717"</f>
        <v>2018010717</v>
      </c>
      <c r="G462" s="9">
        <v>46</v>
      </c>
      <c r="H462" s="9">
        <v>81</v>
      </c>
      <c r="I462" s="9">
        <f t="shared" si="31"/>
        <v>70.5</v>
      </c>
      <c r="J462" s="9"/>
      <c r="K462" s="3">
        <v>7</v>
      </c>
      <c r="L462" s="3">
        <v>17</v>
      </c>
    </row>
    <row r="463" spans="1:12" ht="18.75" customHeight="1">
      <c r="A463" s="3" t="str">
        <f>"10522018030107511182781"</f>
        <v>10522018030107511182781</v>
      </c>
      <c r="B463" s="8" t="s">
        <v>18</v>
      </c>
      <c r="C463" s="9" t="str">
        <f t="shared" si="32"/>
        <v>女</v>
      </c>
      <c r="D463" s="9" t="str">
        <f>"341223199502013123"</f>
        <v>341223199502013123</v>
      </c>
      <c r="E463" s="14" t="str">
        <f t="shared" si="30"/>
        <v>护理</v>
      </c>
      <c r="F463" s="9" t="str">
        <f>"2018011413"</f>
        <v>2018011413</v>
      </c>
      <c r="G463" s="9">
        <v>39</v>
      </c>
      <c r="H463" s="9">
        <v>84</v>
      </c>
      <c r="I463" s="9">
        <f t="shared" si="31"/>
        <v>70.5</v>
      </c>
      <c r="J463" s="9"/>
      <c r="K463" s="3">
        <v>14</v>
      </c>
      <c r="L463" s="3">
        <v>13</v>
      </c>
    </row>
    <row r="464" spans="1:12" ht="18.75" customHeight="1">
      <c r="A464" s="3" t="str">
        <f>"10522018022612545181816"</f>
        <v>10522018022612545181816</v>
      </c>
      <c r="B464" s="8" t="s">
        <v>18</v>
      </c>
      <c r="C464" s="9" t="str">
        <f t="shared" si="32"/>
        <v>女</v>
      </c>
      <c r="D464" s="9" t="str">
        <f>"341226199404172007"</f>
        <v>341226199404172007</v>
      </c>
      <c r="E464" s="14" t="str">
        <f t="shared" si="30"/>
        <v>护理</v>
      </c>
      <c r="F464" s="9" t="str">
        <f>"2018011612"</f>
        <v>2018011612</v>
      </c>
      <c r="G464" s="9">
        <v>39</v>
      </c>
      <c r="H464" s="9">
        <v>84</v>
      </c>
      <c r="I464" s="9">
        <f t="shared" si="31"/>
        <v>70.5</v>
      </c>
      <c r="J464" s="9"/>
      <c r="K464" s="3">
        <v>16</v>
      </c>
      <c r="L464" s="3">
        <v>12</v>
      </c>
    </row>
    <row r="465" spans="1:12" ht="18.75" customHeight="1">
      <c r="A465" s="3" t="str">
        <f>"10522018030210183083101"</f>
        <v>10522018030210183083101</v>
      </c>
      <c r="B465" s="8" t="s">
        <v>18</v>
      </c>
      <c r="C465" s="9" t="str">
        <f t="shared" si="32"/>
        <v>女</v>
      </c>
      <c r="D465" s="9" t="str">
        <f>"341224199411147827"</f>
        <v>341224199411147827</v>
      </c>
      <c r="E465" s="14" t="str">
        <f t="shared" si="30"/>
        <v>护理</v>
      </c>
      <c r="F465" s="9" t="str">
        <f>"2018011307"</f>
        <v>2018011307</v>
      </c>
      <c r="G465" s="9">
        <v>48</v>
      </c>
      <c r="H465" s="9">
        <v>80</v>
      </c>
      <c r="I465" s="9">
        <f t="shared" si="31"/>
        <v>70.400000000000006</v>
      </c>
      <c r="J465" s="9"/>
      <c r="K465" s="3">
        <v>13</v>
      </c>
      <c r="L465" s="3">
        <v>7</v>
      </c>
    </row>
    <row r="466" spans="1:12" ht="18.75" customHeight="1">
      <c r="A466" s="3" t="str">
        <f>"10522018022709334782148"</f>
        <v>10522018022709334782148</v>
      </c>
      <c r="B466" s="8" t="s">
        <v>18</v>
      </c>
      <c r="C466" s="9" t="str">
        <f t="shared" si="32"/>
        <v>女</v>
      </c>
      <c r="D466" s="9" t="str">
        <f>"341221199612111768"</f>
        <v>341221199612111768</v>
      </c>
      <c r="E466" s="14" t="str">
        <f t="shared" si="30"/>
        <v>护理</v>
      </c>
      <c r="F466" s="9" t="str">
        <f>"2018010705"</f>
        <v>2018010705</v>
      </c>
      <c r="G466" s="9">
        <v>36</v>
      </c>
      <c r="H466" s="9">
        <v>85</v>
      </c>
      <c r="I466" s="9">
        <f t="shared" si="31"/>
        <v>70.3</v>
      </c>
      <c r="J466" s="9"/>
      <c r="K466" s="3">
        <v>7</v>
      </c>
      <c r="L466" s="3">
        <v>5</v>
      </c>
    </row>
    <row r="467" spans="1:12" ht="18.75" customHeight="1">
      <c r="A467" s="3" t="str">
        <f>"10522018022612360581797"</f>
        <v>10522018022612360581797</v>
      </c>
      <c r="B467" s="8" t="s">
        <v>18</v>
      </c>
      <c r="C467" s="9" t="str">
        <f t="shared" si="32"/>
        <v>女</v>
      </c>
      <c r="D467" s="9" t="str">
        <f>"341621199807245127"</f>
        <v>341621199807245127</v>
      </c>
      <c r="E467" s="14" t="str">
        <f t="shared" si="30"/>
        <v>护理</v>
      </c>
      <c r="F467" s="9" t="str">
        <f>"2018010605"</f>
        <v>2018010605</v>
      </c>
      <c r="G467" s="9">
        <v>38</v>
      </c>
      <c r="H467" s="9">
        <v>84</v>
      </c>
      <c r="I467" s="9">
        <f t="shared" si="31"/>
        <v>70.2</v>
      </c>
      <c r="J467" s="9"/>
      <c r="K467" s="3">
        <v>6</v>
      </c>
      <c r="L467" s="3">
        <v>5</v>
      </c>
    </row>
    <row r="468" spans="1:12" ht="18.75" customHeight="1">
      <c r="A468" s="3" t="str">
        <f>"10522018022612270181791"</f>
        <v>10522018022612270181791</v>
      </c>
      <c r="B468" s="8" t="s">
        <v>18</v>
      </c>
      <c r="C468" s="9" t="str">
        <f t="shared" si="32"/>
        <v>女</v>
      </c>
      <c r="D468" s="9" t="str">
        <f>"341623199406105345"</f>
        <v>341623199406105345</v>
      </c>
      <c r="E468" s="14" t="str">
        <f t="shared" si="30"/>
        <v>护理</v>
      </c>
      <c r="F468" s="9" t="str">
        <f>"2018011314"</f>
        <v>2018011314</v>
      </c>
      <c r="G468" s="9">
        <v>24</v>
      </c>
      <c r="H468" s="9">
        <v>90</v>
      </c>
      <c r="I468" s="9">
        <f t="shared" si="31"/>
        <v>70.199999999999989</v>
      </c>
      <c r="J468" s="9"/>
      <c r="K468" s="3">
        <v>13</v>
      </c>
      <c r="L468" s="3">
        <v>14</v>
      </c>
    </row>
    <row r="469" spans="1:12" ht="18.75" customHeight="1">
      <c r="A469" s="3" t="str">
        <f>"10522018022609025881561"</f>
        <v>10522018022609025881561</v>
      </c>
      <c r="B469" s="8" t="s">
        <v>18</v>
      </c>
      <c r="C469" s="9" t="str">
        <f t="shared" si="32"/>
        <v>女</v>
      </c>
      <c r="D469" s="9" t="str">
        <f>"341623199511299022"</f>
        <v>341623199511299022</v>
      </c>
      <c r="E469" s="14" t="str">
        <f t="shared" si="30"/>
        <v>护理</v>
      </c>
      <c r="F469" s="9" t="str">
        <f>"2018010815"</f>
        <v>2018010815</v>
      </c>
      <c r="G469" s="9">
        <v>40</v>
      </c>
      <c r="H469" s="9">
        <v>83</v>
      </c>
      <c r="I469" s="9">
        <f t="shared" si="31"/>
        <v>70.099999999999994</v>
      </c>
      <c r="J469" s="9"/>
      <c r="K469" s="3">
        <v>8</v>
      </c>
      <c r="L469" s="3">
        <v>15</v>
      </c>
    </row>
    <row r="470" spans="1:12" ht="18.75" customHeight="1">
      <c r="A470" s="3" t="str">
        <f>"10522018022614262281878"</f>
        <v>10522018022614262281878</v>
      </c>
      <c r="B470" s="8" t="s">
        <v>18</v>
      </c>
      <c r="C470" s="9" t="str">
        <f t="shared" si="32"/>
        <v>女</v>
      </c>
      <c r="D470" s="9" t="str">
        <f>"341623199310222328"</f>
        <v>341623199310222328</v>
      </c>
      <c r="E470" s="14" t="str">
        <f t="shared" si="30"/>
        <v>护理</v>
      </c>
      <c r="F470" s="9" t="str">
        <f>"2018010917"</f>
        <v>2018010917</v>
      </c>
      <c r="G470" s="9">
        <v>47</v>
      </c>
      <c r="H470" s="9">
        <v>80</v>
      </c>
      <c r="I470" s="9">
        <f t="shared" si="31"/>
        <v>70.099999999999994</v>
      </c>
      <c r="J470" s="9"/>
      <c r="K470" s="3">
        <v>9</v>
      </c>
      <c r="L470" s="3">
        <v>17</v>
      </c>
    </row>
    <row r="471" spans="1:12" ht="18.75" customHeight="1">
      <c r="A471" s="3" t="str">
        <f>"10522018030117301082972"</f>
        <v>10522018030117301082972</v>
      </c>
      <c r="B471" s="8" t="s">
        <v>18</v>
      </c>
      <c r="C471" s="9" t="str">
        <f t="shared" si="32"/>
        <v>女</v>
      </c>
      <c r="D471" s="9" t="str">
        <f>"341223199508070049"</f>
        <v>341223199508070049</v>
      </c>
      <c r="E471" s="14" t="str">
        <f t="shared" si="30"/>
        <v>护理</v>
      </c>
      <c r="F471" s="9" t="str">
        <f>"2018011604"</f>
        <v>2018011604</v>
      </c>
      <c r="G471" s="9">
        <v>23.5</v>
      </c>
      <c r="H471" s="9">
        <v>90</v>
      </c>
      <c r="I471" s="9">
        <f t="shared" si="31"/>
        <v>70.05</v>
      </c>
      <c r="J471" s="9"/>
      <c r="K471" s="3">
        <v>16</v>
      </c>
      <c r="L471" s="3">
        <v>4</v>
      </c>
    </row>
    <row r="472" spans="1:12" ht="18.75" customHeight="1">
      <c r="A472" s="3" t="str">
        <f>"10522018030215324483187"</f>
        <v>10522018030215324483187</v>
      </c>
      <c r="B472" s="8" t="s">
        <v>18</v>
      </c>
      <c r="C472" s="9" t="str">
        <f t="shared" si="32"/>
        <v>女</v>
      </c>
      <c r="D472" s="9" t="str">
        <f>"341621199712104524"</f>
        <v>341621199712104524</v>
      </c>
      <c r="E472" s="14" t="str">
        <f t="shared" si="30"/>
        <v>护理</v>
      </c>
      <c r="F472" s="9" t="str">
        <f>"2018011603"</f>
        <v>2018011603</v>
      </c>
      <c r="G472" s="9">
        <v>37</v>
      </c>
      <c r="H472" s="9">
        <v>84</v>
      </c>
      <c r="I472" s="9">
        <f t="shared" si="31"/>
        <v>69.899999999999991</v>
      </c>
      <c r="J472" s="9"/>
      <c r="K472" s="3">
        <v>16</v>
      </c>
      <c r="L472" s="3">
        <v>3</v>
      </c>
    </row>
    <row r="473" spans="1:12" ht="18.75" customHeight="1">
      <c r="A473" s="3" t="str">
        <f>"10522018022617270881983"</f>
        <v>10522018022617270881983</v>
      </c>
      <c r="B473" s="8" t="s">
        <v>18</v>
      </c>
      <c r="C473" s="9" t="str">
        <f t="shared" si="32"/>
        <v>女</v>
      </c>
      <c r="D473" s="9" t="str">
        <f>"341223199411160726"</f>
        <v>341223199411160726</v>
      </c>
      <c r="E473" s="14" t="str">
        <f>"护理专业"</f>
        <v>护理专业</v>
      </c>
      <c r="F473" s="9" t="str">
        <f>"2018010818"</f>
        <v>2018010818</v>
      </c>
      <c r="G473" s="9">
        <v>48.5</v>
      </c>
      <c r="H473" s="9">
        <v>79</v>
      </c>
      <c r="I473" s="9">
        <f t="shared" si="31"/>
        <v>69.849999999999994</v>
      </c>
      <c r="J473" s="9"/>
      <c r="K473" s="3">
        <v>8</v>
      </c>
      <c r="L473" s="3">
        <v>18</v>
      </c>
    </row>
    <row r="474" spans="1:12" ht="18.75" customHeight="1">
      <c r="A474" s="3" t="str">
        <f>"10522018030112294882866"</f>
        <v>10522018030112294882866</v>
      </c>
      <c r="B474" s="8" t="s">
        <v>18</v>
      </c>
      <c r="C474" s="9" t="str">
        <f t="shared" si="32"/>
        <v>女</v>
      </c>
      <c r="D474" s="9" t="str">
        <f>"341621199603082127"</f>
        <v>341621199603082127</v>
      </c>
      <c r="E474" s="14" t="str">
        <f t="shared" ref="E474:E500" si="33">"护理"</f>
        <v>护理</v>
      </c>
      <c r="F474" s="9" t="str">
        <f>"2018011905"</f>
        <v>2018011905</v>
      </c>
      <c r="G474" s="9">
        <v>34.5</v>
      </c>
      <c r="H474" s="9">
        <v>85</v>
      </c>
      <c r="I474" s="9">
        <f t="shared" si="31"/>
        <v>69.849999999999994</v>
      </c>
      <c r="J474" s="9"/>
      <c r="K474" s="3">
        <v>19</v>
      </c>
      <c r="L474" s="3">
        <v>5</v>
      </c>
    </row>
    <row r="475" spans="1:12" ht="18.75" customHeight="1">
      <c r="A475" s="3" t="str">
        <f>"10522018022610250381672"</f>
        <v>10522018022610250381672</v>
      </c>
      <c r="B475" s="8" t="s">
        <v>18</v>
      </c>
      <c r="C475" s="9" t="str">
        <f t="shared" si="32"/>
        <v>女</v>
      </c>
      <c r="D475" s="9" t="str">
        <f>"341621199905050227"</f>
        <v>341621199905050227</v>
      </c>
      <c r="E475" s="14" t="str">
        <f t="shared" si="33"/>
        <v>护理</v>
      </c>
      <c r="F475" s="9" t="str">
        <f>"2018011309"</f>
        <v>2018011309</v>
      </c>
      <c r="G475" s="9">
        <v>41</v>
      </c>
      <c r="H475" s="9">
        <v>82</v>
      </c>
      <c r="I475" s="9">
        <f t="shared" si="31"/>
        <v>69.7</v>
      </c>
      <c r="J475" s="9"/>
      <c r="K475" s="3">
        <v>13</v>
      </c>
      <c r="L475" s="3">
        <v>9</v>
      </c>
    </row>
    <row r="476" spans="1:12" ht="18.75" customHeight="1">
      <c r="A476" s="3" t="str">
        <f>"10522018022610290481677"</f>
        <v>10522018022610290481677</v>
      </c>
      <c r="B476" s="8" t="s">
        <v>18</v>
      </c>
      <c r="C476" s="9" t="str">
        <f t="shared" si="32"/>
        <v>女</v>
      </c>
      <c r="D476" s="9" t="str">
        <f>"341621199306061127"</f>
        <v>341621199306061127</v>
      </c>
      <c r="E476" s="14" t="str">
        <f t="shared" si="33"/>
        <v>护理</v>
      </c>
      <c r="F476" s="9" t="str">
        <f>"2018011130"</f>
        <v>2018011130</v>
      </c>
      <c r="G476" s="9">
        <v>36</v>
      </c>
      <c r="H476" s="9">
        <v>84</v>
      </c>
      <c r="I476" s="9">
        <f t="shared" si="31"/>
        <v>69.599999999999994</v>
      </c>
      <c r="J476" s="9"/>
      <c r="K476" s="3">
        <v>11</v>
      </c>
      <c r="L476" s="3">
        <v>30</v>
      </c>
    </row>
    <row r="477" spans="1:12" ht="18.75" customHeight="1">
      <c r="A477" s="3" t="str">
        <f>"10522018030109334582809"</f>
        <v>10522018030109334582809</v>
      </c>
      <c r="B477" s="8" t="s">
        <v>18</v>
      </c>
      <c r="C477" s="9" t="str">
        <f t="shared" si="32"/>
        <v>女</v>
      </c>
      <c r="D477" s="9" t="str">
        <f>"341224199501020029"</f>
        <v>341224199501020029</v>
      </c>
      <c r="E477" s="14" t="str">
        <f t="shared" si="33"/>
        <v>护理</v>
      </c>
      <c r="F477" s="9" t="str">
        <f>"2018011705"</f>
        <v>2018011705</v>
      </c>
      <c r="G477" s="9">
        <v>47.5</v>
      </c>
      <c r="H477" s="9">
        <v>79</v>
      </c>
      <c r="I477" s="9">
        <f t="shared" si="31"/>
        <v>69.55</v>
      </c>
      <c r="J477" s="9"/>
      <c r="K477" s="3">
        <v>17</v>
      </c>
      <c r="L477" s="3">
        <v>5</v>
      </c>
    </row>
    <row r="478" spans="1:12" ht="18.75" customHeight="1">
      <c r="A478" s="3" t="str">
        <f>"10522018022617274181984"</f>
        <v>10522018022617274181984</v>
      </c>
      <c r="B478" s="8" t="s">
        <v>18</v>
      </c>
      <c r="C478" s="9" t="str">
        <f t="shared" si="32"/>
        <v>女</v>
      </c>
      <c r="D478" s="9" t="str">
        <f>"341227199410172624"</f>
        <v>341227199410172624</v>
      </c>
      <c r="E478" s="14" t="str">
        <f t="shared" si="33"/>
        <v>护理</v>
      </c>
      <c r="F478" s="9" t="str">
        <f>"2018011716"</f>
        <v>2018011716</v>
      </c>
      <c r="G478" s="9">
        <v>33.5</v>
      </c>
      <c r="H478" s="9">
        <v>85</v>
      </c>
      <c r="I478" s="9">
        <f t="shared" si="31"/>
        <v>69.55</v>
      </c>
      <c r="J478" s="9"/>
      <c r="K478" s="3">
        <v>17</v>
      </c>
      <c r="L478" s="3">
        <v>16</v>
      </c>
    </row>
    <row r="479" spans="1:12" ht="18.75" customHeight="1">
      <c r="A479" s="3" t="str">
        <f>"10522018022813151182585"</f>
        <v>10522018022813151182585</v>
      </c>
      <c r="B479" s="8" t="s">
        <v>18</v>
      </c>
      <c r="C479" s="9" t="str">
        <f t="shared" si="32"/>
        <v>女</v>
      </c>
      <c r="D479" s="9" t="str">
        <f>"341621199610054124"</f>
        <v>341621199610054124</v>
      </c>
      <c r="E479" s="14" t="str">
        <f t="shared" si="33"/>
        <v>护理</v>
      </c>
      <c r="F479" s="9" t="str">
        <f>"2018012016"</f>
        <v>2018012016</v>
      </c>
      <c r="G479" s="9">
        <v>31</v>
      </c>
      <c r="H479" s="9">
        <v>86</v>
      </c>
      <c r="I479" s="9">
        <f t="shared" si="31"/>
        <v>69.5</v>
      </c>
      <c r="J479" s="9"/>
      <c r="K479" s="3">
        <v>20</v>
      </c>
      <c r="L479" s="3">
        <v>16</v>
      </c>
    </row>
    <row r="480" spans="1:12" ht="18.75" customHeight="1">
      <c r="A480" s="3" t="str">
        <f>"10522018030112342482868"</f>
        <v>10522018030112342482868</v>
      </c>
      <c r="B480" s="8" t="s">
        <v>18</v>
      </c>
      <c r="C480" s="9" t="str">
        <f t="shared" si="32"/>
        <v>女</v>
      </c>
      <c r="D480" s="9" t="str">
        <f>"341223199607192121"</f>
        <v>341223199607192121</v>
      </c>
      <c r="E480" s="14" t="str">
        <f t="shared" si="33"/>
        <v>护理</v>
      </c>
      <c r="F480" s="9" t="str">
        <f>"2018011509"</f>
        <v>2018011509</v>
      </c>
      <c r="G480" s="9">
        <v>28.5</v>
      </c>
      <c r="H480" s="9">
        <v>87</v>
      </c>
      <c r="I480" s="9">
        <f t="shared" si="31"/>
        <v>69.45</v>
      </c>
      <c r="J480" s="9"/>
      <c r="K480" s="3">
        <v>15</v>
      </c>
      <c r="L480" s="3">
        <v>9</v>
      </c>
    </row>
    <row r="481" spans="1:12" ht="18.75" customHeight="1">
      <c r="A481" s="3" t="str">
        <f>"10522018030118452482996"</f>
        <v>10522018030118452482996</v>
      </c>
      <c r="B481" s="8" t="s">
        <v>18</v>
      </c>
      <c r="C481" s="9" t="str">
        <f t="shared" si="32"/>
        <v>女</v>
      </c>
      <c r="D481" s="9" t="str">
        <f>"341222199401012504"</f>
        <v>341222199401012504</v>
      </c>
      <c r="E481" s="14" t="str">
        <f t="shared" si="33"/>
        <v>护理</v>
      </c>
      <c r="F481" s="9" t="str">
        <f>"2018011911"</f>
        <v>2018011911</v>
      </c>
      <c r="G481" s="9">
        <v>49.5</v>
      </c>
      <c r="H481" s="9">
        <v>78</v>
      </c>
      <c r="I481" s="9">
        <f t="shared" si="31"/>
        <v>69.449999999999989</v>
      </c>
      <c r="J481" s="9"/>
      <c r="K481" s="3">
        <v>19</v>
      </c>
      <c r="L481" s="3">
        <v>11</v>
      </c>
    </row>
    <row r="482" spans="1:12" ht="18.75" customHeight="1">
      <c r="A482" s="3" t="str">
        <f>"10522018022621140682081"</f>
        <v>10522018022621140682081</v>
      </c>
      <c r="B482" s="8" t="s">
        <v>18</v>
      </c>
      <c r="C482" s="9" t="str">
        <f t="shared" si="32"/>
        <v>女</v>
      </c>
      <c r="D482" s="9" t="str">
        <f>"341223199407091326"</f>
        <v>341223199407091326</v>
      </c>
      <c r="E482" s="14" t="str">
        <f t="shared" si="33"/>
        <v>护理</v>
      </c>
      <c r="F482" s="9" t="str">
        <f>"2018010920"</f>
        <v>2018010920</v>
      </c>
      <c r="G482" s="9">
        <v>40</v>
      </c>
      <c r="H482" s="9">
        <v>82</v>
      </c>
      <c r="I482" s="9">
        <f t="shared" si="31"/>
        <v>69.400000000000006</v>
      </c>
      <c r="J482" s="9"/>
      <c r="K482" s="3">
        <v>9</v>
      </c>
      <c r="L482" s="3">
        <v>20</v>
      </c>
    </row>
    <row r="483" spans="1:12" ht="18.75" customHeight="1">
      <c r="A483" s="3" t="str">
        <f>"10522018022610182581666"</f>
        <v>10522018022610182581666</v>
      </c>
      <c r="B483" s="8" t="s">
        <v>18</v>
      </c>
      <c r="C483" s="9" t="str">
        <f t="shared" si="32"/>
        <v>女</v>
      </c>
      <c r="D483" s="9" t="str">
        <f>"341223199404040021"</f>
        <v>341223199404040021</v>
      </c>
      <c r="E483" s="14" t="str">
        <f t="shared" si="33"/>
        <v>护理</v>
      </c>
      <c r="F483" s="9" t="str">
        <f>"2018011119"</f>
        <v>2018011119</v>
      </c>
      <c r="G483" s="9">
        <v>47</v>
      </c>
      <c r="H483" s="9">
        <v>79</v>
      </c>
      <c r="I483" s="9">
        <f t="shared" si="31"/>
        <v>69.399999999999991</v>
      </c>
      <c r="J483" s="9"/>
      <c r="K483" s="3">
        <v>11</v>
      </c>
      <c r="L483" s="3">
        <v>19</v>
      </c>
    </row>
    <row r="484" spans="1:12" ht="18.75" customHeight="1">
      <c r="A484" s="3" t="str">
        <f>"10522018022610471281709"</f>
        <v>10522018022610471281709</v>
      </c>
      <c r="B484" s="8" t="s">
        <v>18</v>
      </c>
      <c r="C484" s="9" t="str">
        <f t="shared" si="32"/>
        <v>女</v>
      </c>
      <c r="D484" s="9" t="str">
        <f>"341621199512204520"</f>
        <v>341621199512204520</v>
      </c>
      <c r="E484" s="14" t="str">
        <f t="shared" si="33"/>
        <v>护理</v>
      </c>
      <c r="F484" s="9" t="str">
        <f>"2018012024"</f>
        <v>2018012024</v>
      </c>
      <c r="G484" s="9">
        <v>39.5</v>
      </c>
      <c r="H484" s="9">
        <v>82</v>
      </c>
      <c r="I484" s="9">
        <f t="shared" si="31"/>
        <v>69.25</v>
      </c>
      <c r="J484" s="9"/>
      <c r="K484" s="3">
        <v>20</v>
      </c>
      <c r="L484" s="3">
        <v>24</v>
      </c>
    </row>
    <row r="485" spans="1:12" ht="18.75" customHeight="1">
      <c r="A485" s="3" t="str">
        <f>"10522018022712533682224"</f>
        <v>10522018022712533682224</v>
      </c>
      <c r="B485" s="8" t="s">
        <v>18</v>
      </c>
      <c r="C485" s="9" t="str">
        <f t="shared" si="32"/>
        <v>女</v>
      </c>
      <c r="D485" s="9" t="str">
        <f>"341223199702212928"</f>
        <v>341223199702212928</v>
      </c>
      <c r="E485" s="14" t="str">
        <f t="shared" si="33"/>
        <v>护理</v>
      </c>
      <c r="F485" s="9" t="str">
        <f>"2018011706"</f>
        <v>2018011706</v>
      </c>
      <c r="G485" s="9">
        <v>30</v>
      </c>
      <c r="H485" s="9">
        <v>86</v>
      </c>
      <c r="I485" s="9">
        <f t="shared" si="31"/>
        <v>69.199999999999989</v>
      </c>
      <c r="J485" s="9"/>
      <c r="K485" s="3">
        <v>17</v>
      </c>
      <c r="L485" s="3">
        <v>6</v>
      </c>
    </row>
    <row r="486" spans="1:12" ht="18.75" customHeight="1">
      <c r="A486" s="3" t="str">
        <f>"10522018030114481382919"</f>
        <v>10522018030114481382919</v>
      </c>
      <c r="B486" s="8" t="s">
        <v>18</v>
      </c>
      <c r="C486" s="9" t="str">
        <f t="shared" si="32"/>
        <v>女</v>
      </c>
      <c r="D486" s="9" t="str">
        <f>"341223199403180268"</f>
        <v>341223199403180268</v>
      </c>
      <c r="E486" s="14" t="str">
        <f t="shared" si="33"/>
        <v>护理</v>
      </c>
      <c r="F486" s="9" t="str">
        <f>"2018010523"</f>
        <v>2018010523</v>
      </c>
      <c r="G486" s="9">
        <v>48.5</v>
      </c>
      <c r="H486" s="9">
        <v>78</v>
      </c>
      <c r="I486" s="9">
        <f t="shared" si="31"/>
        <v>69.149999999999991</v>
      </c>
      <c r="J486" s="9"/>
      <c r="K486" s="3">
        <v>5</v>
      </c>
      <c r="L486" s="3">
        <v>23</v>
      </c>
    </row>
    <row r="487" spans="1:12" ht="18.75" customHeight="1">
      <c r="A487" s="3" t="str">
        <f>"10522018022611103681739"</f>
        <v>10522018022611103681739</v>
      </c>
      <c r="B487" s="8" t="s">
        <v>18</v>
      </c>
      <c r="C487" s="9" t="str">
        <f t="shared" si="32"/>
        <v>女</v>
      </c>
      <c r="D487" s="9" t="str">
        <f>"341623199702086724"</f>
        <v>341623199702086724</v>
      </c>
      <c r="E487" s="14" t="str">
        <f t="shared" si="33"/>
        <v>护理</v>
      </c>
      <c r="F487" s="9" t="str">
        <f>"2018011909"</f>
        <v>2018011909</v>
      </c>
      <c r="G487" s="9">
        <v>34</v>
      </c>
      <c r="H487" s="9">
        <v>84</v>
      </c>
      <c r="I487" s="9">
        <f t="shared" si="31"/>
        <v>69</v>
      </c>
      <c r="J487" s="9"/>
      <c r="K487" s="3">
        <v>19</v>
      </c>
      <c r="L487" s="3">
        <v>9</v>
      </c>
    </row>
    <row r="488" spans="1:12" ht="18.75" customHeight="1">
      <c r="A488" s="3" t="str">
        <f>"10522018030114081282907"</f>
        <v>10522018030114081282907</v>
      </c>
      <c r="B488" s="8" t="s">
        <v>18</v>
      </c>
      <c r="C488" s="9" t="str">
        <f t="shared" si="32"/>
        <v>女</v>
      </c>
      <c r="D488" s="9" t="str">
        <f>"341227199702070427"</f>
        <v>341227199702070427</v>
      </c>
      <c r="E488" s="14" t="str">
        <f t="shared" si="33"/>
        <v>护理</v>
      </c>
      <c r="F488" s="9" t="str">
        <f>"2018012030"</f>
        <v>2018012030</v>
      </c>
      <c r="G488" s="9">
        <v>20</v>
      </c>
      <c r="H488" s="9">
        <v>90</v>
      </c>
      <c r="I488" s="9">
        <f t="shared" si="31"/>
        <v>69</v>
      </c>
      <c r="J488" s="9"/>
      <c r="K488" s="3">
        <v>20</v>
      </c>
      <c r="L488" s="3">
        <v>30</v>
      </c>
    </row>
    <row r="489" spans="1:12" ht="18.75" customHeight="1">
      <c r="A489" s="3" t="str">
        <f>"10522018030110065382816"</f>
        <v>10522018030110065382816</v>
      </c>
      <c r="B489" s="8" t="s">
        <v>18</v>
      </c>
      <c r="C489" s="9" t="str">
        <f t="shared" si="32"/>
        <v>女</v>
      </c>
      <c r="D489" s="9" t="str">
        <f>"341281199705041021"</f>
        <v>341281199705041021</v>
      </c>
      <c r="E489" s="14" t="str">
        <f t="shared" si="33"/>
        <v>护理</v>
      </c>
      <c r="F489" s="9" t="str">
        <f>"2018011019"</f>
        <v>2018011019</v>
      </c>
      <c r="G489" s="9">
        <v>36</v>
      </c>
      <c r="H489" s="9">
        <v>83</v>
      </c>
      <c r="I489" s="9">
        <f t="shared" si="31"/>
        <v>68.899999999999991</v>
      </c>
      <c r="J489" s="9"/>
      <c r="K489" s="3">
        <v>10</v>
      </c>
      <c r="L489" s="3">
        <v>19</v>
      </c>
    </row>
    <row r="490" spans="1:12" ht="18.75" customHeight="1">
      <c r="A490" s="3" t="str">
        <f>"10522018022618145282008"</f>
        <v>10522018022618145282008</v>
      </c>
      <c r="B490" s="8" t="s">
        <v>18</v>
      </c>
      <c r="C490" s="9" t="str">
        <f t="shared" si="32"/>
        <v>女</v>
      </c>
      <c r="D490" s="9" t="str">
        <f>"341227199504274023"</f>
        <v>341227199504274023</v>
      </c>
      <c r="E490" s="14" t="str">
        <f t="shared" si="33"/>
        <v>护理</v>
      </c>
      <c r="F490" s="9" t="str">
        <f>"2018011811"</f>
        <v>2018011811</v>
      </c>
      <c r="G490" s="9">
        <v>38</v>
      </c>
      <c r="H490" s="9">
        <v>82</v>
      </c>
      <c r="I490" s="9">
        <f t="shared" si="31"/>
        <v>68.8</v>
      </c>
      <c r="J490" s="9"/>
      <c r="K490" s="3">
        <v>18</v>
      </c>
      <c r="L490" s="3">
        <v>11</v>
      </c>
    </row>
    <row r="491" spans="1:12" ht="18.75" customHeight="1">
      <c r="A491" s="3" t="str">
        <f>"10522018022610564681724"</f>
        <v>10522018022610564681724</v>
      </c>
      <c r="B491" s="8" t="s">
        <v>18</v>
      </c>
      <c r="C491" s="9" t="str">
        <f t="shared" si="32"/>
        <v>女</v>
      </c>
      <c r="D491" s="9" t="str">
        <f>"341623199510018321"</f>
        <v>341623199510018321</v>
      </c>
      <c r="E491" s="14" t="str">
        <f t="shared" si="33"/>
        <v>护理</v>
      </c>
      <c r="F491" s="9" t="str">
        <f>"2018011229"</f>
        <v>2018011229</v>
      </c>
      <c r="G491" s="9">
        <v>28</v>
      </c>
      <c r="H491" s="9">
        <v>86</v>
      </c>
      <c r="I491" s="9">
        <f t="shared" si="31"/>
        <v>68.599999999999994</v>
      </c>
      <c r="J491" s="9"/>
      <c r="K491" s="3">
        <v>12</v>
      </c>
      <c r="L491" s="3">
        <v>29</v>
      </c>
    </row>
    <row r="492" spans="1:12" ht="18.75" customHeight="1">
      <c r="A492" s="3" t="str">
        <f>"10522018030120372083018"</f>
        <v>10522018030120372083018</v>
      </c>
      <c r="B492" s="8" t="s">
        <v>18</v>
      </c>
      <c r="C492" s="9" t="str">
        <f t="shared" si="32"/>
        <v>女</v>
      </c>
      <c r="D492" s="9" t="str">
        <f>"341221199304012127"</f>
        <v>341221199304012127</v>
      </c>
      <c r="E492" s="14" t="str">
        <f t="shared" si="33"/>
        <v>护理</v>
      </c>
      <c r="F492" s="9" t="str">
        <f>"2018010807"</f>
        <v>2018010807</v>
      </c>
      <c r="G492" s="9">
        <v>39.5</v>
      </c>
      <c r="H492" s="9">
        <v>81</v>
      </c>
      <c r="I492" s="9">
        <f t="shared" si="31"/>
        <v>68.55</v>
      </c>
      <c r="J492" s="9"/>
      <c r="K492" s="3">
        <v>8</v>
      </c>
      <c r="L492" s="3">
        <v>7</v>
      </c>
    </row>
    <row r="493" spans="1:12" ht="18.75" customHeight="1">
      <c r="A493" s="3" t="str">
        <f>"10522018022819163782706"</f>
        <v>10522018022819163782706</v>
      </c>
      <c r="B493" s="8" t="s">
        <v>18</v>
      </c>
      <c r="C493" s="9" t="str">
        <f t="shared" si="32"/>
        <v>女</v>
      </c>
      <c r="D493" s="9" t="str">
        <f>"341223199308242520"</f>
        <v>341223199308242520</v>
      </c>
      <c r="E493" s="14" t="str">
        <f t="shared" si="33"/>
        <v>护理</v>
      </c>
      <c r="F493" s="9" t="str">
        <f>"2018011124"</f>
        <v>2018011124</v>
      </c>
      <c r="G493" s="9">
        <v>39.5</v>
      </c>
      <c r="H493" s="9">
        <v>81</v>
      </c>
      <c r="I493" s="9">
        <f t="shared" si="31"/>
        <v>68.55</v>
      </c>
      <c r="J493" s="9"/>
      <c r="K493" s="3">
        <v>11</v>
      </c>
      <c r="L493" s="3">
        <v>24</v>
      </c>
    </row>
    <row r="494" spans="1:12" ht="18.75" customHeight="1">
      <c r="A494" s="3" t="str">
        <f>"10522018022609025881562"</f>
        <v>10522018022609025881562</v>
      </c>
      <c r="B494" s="8" t="s">
        <v>18</v>
      </c>
      <c r="C494" s="9" t="str">
        <f t="shared" si="32"/>
        <v>女</v>
      </c>
      <c r="D494" s="9" t="str">
        <f>"34120219951230212X"</f>
        <v>34120219951230212X</v>
      </c>
      <c r="E494" s="14" t="str">
        <f t="shared" si="33"/>
        <v>护理</v>
      </c>
      <c r="F494" s="9" t="str">
        <f>"2018011325"</f>
        <v>2018011325</v>
      </c>
      <c r="G494" s="9">
        <v>18.5</v>
      </c>
      <c r="H494" s="9">
        <v>90</v>
      </c>
      <c r="I494" s="9">
        <f t="shared" si="31"/>
        <v>68.55</v>
      </c>
      <c r="J494" s="9"/>
      <c r="K494" s="3">
        <v>13</v>
      </c>
      <c r="L494" s="3">
        <v>25</v>
      </c>
    </row>
    <row r="495" spans="1:12" ht="18.75" customHeight="1">
      <c r="A495" s="3" t="str">
        <f>"10522018022620062282047"</f>
        <v>10522018022620062282047</v>
      </c>
      <c r="B495" s="8" t="s">
        <v>18</v>
      </c>
      <c r="C495" s="9" t="str">
        <f t="shared" si="32"/>
        <v>女</v>
      </c>
      <c r="D495" s="9" t="str">
        <f>"341223199607061121"</f>
        <v>341223199607061121</v>
      </c>
      <c r="E495" s="14" t="str">
        <f t="shared" si="33"/>
        <v>护理</v>
      </c>
      <c r="F495" s="9" t="str">
        <f>"2018011918"</f>
        <v>2018011918</v>
      </c>
      <c r="G495" s="9">
        <v>25.5</v>
      </c>
      <c r="H495" s="9">
        <v>87</v>
      </c>
      <c r="I495" s="9">
        <f t="shared" si="31"/>
        <v>68.55</v>
      </c>
      <c r="J495" s="9"/>
      <c r="K495" s="3">
        <v>19</v>
      </c>
      <c r="L495" s="3">
        <v>18</v>
      </c>
    </row>
    <row r="496" spans="1:12" ht="18.75" customHeight="1">
      <c r="A496" s="3" t="str">
        <f>"10522018022613263681844"</f>
        <v>10522018022613263681844</v>
      </c>
      <c r="B496" s="8" t="s">
        <v>18</v>
      </c>
      <c r="C496" s="9" t="str">
        <f t="shared" si="32"/>
        <v>女</v>
      </c>
      <c r="D496" s="9" t="str">
        <f>"34162219950827782X"</f>
        <v>34162219950827782X</v>
      </c>
      <c r="E496" s="14" t="str">
        <f t="shared" si="33"/>
        <v>护理</v>
      </c>
      <c r="F496" s="9" t="str">
        <f>"2018011511"</f>
        <v>2018011511</v>
      </c>
      <c r="G496" s="9">
        <v>37</v>
      </c>
      <c r="H496" s="9">
        <v>82</v>
      </c>
      <c r="I496" s="9">
        <f t="shared" si="31"/>
        <v>68.5</v>
      </c>
      <c r="J496" s="9"/>
      <c r="K496" s="3">
        <v>15</v>
      </c>
      <c r="L496" s="3">
        <v>11</v>
      </c>
    </row>
    <row r="497" spans="1:12" ht="18.75" customHeight="1">
      <c r="A497" s="3" t="str">
        <f>"10522018030213132783139"</f>
        <v>10522018030213132783139</v>
      </c>
      <c r="B497" s="8" t="s">
        <v>18</v>
      </c>
      <c r="C497" s="9" t="str">
        <f t="shared" si="32"/>
        <v>女</v>
      </c>
      <c r="D497" s="9" t="str">
        <f>"341281199701156569"</f>
        <v>341281199701156569</v>
      </c>
      <c r="E497" s="14" t="str">
        <f t="shared" si="33"/>
        <v>护理</v>
      </c>
      <c r="F497" s="9" t="str">
        <f>"2018011724"</f>
        <v>2018011724</v>
      </c>
      <c r="G497" s="9">
        <v>41.5</v>
      </c>
      <c r="H497" s="9">
        <v>80</v>
      </c>
      <c r="I497" s="9">
        <f t="shared" si="31"/>
        <v>68.45</v>
      </c>
      <c r="J497" s="9"/>
      <c r="K497" s="3">
        <v>17</v>
      </c>
      <c r="L497" s="3">
        <v>24</v>
      </c>
    </row>
    <row r="498" spans="1:12" ht="18.75" customHeight="1">
      <c r="A498" s="3" t="str">
        <f>"10522018022709423082153"</f>
        <v>10522018022709423082153</v>
      </c>
      <c r="B498" s="8" t="s">
        <v>18</v>
      </c>
      <c r="C498" s="9" t="str">
        <f t="shared" si="32"/>
        <v>女</v>
      </c>
      <c r="D498" s="9" t="str">
        <f>"340621199412118421"</f>
        <v>340621199412118421</v>
      </c>
      <c r="E498" s="14" t="str">
        <f t="shared" si="33"/>
        <v>护理</v>
      </c>
      <c r="F498" s="9" t="str">
        <f>"2018012101"</f>
        <v>2018012101</v>
      </c>
      <c r="G498" s="9">
        <v>41.5</v>
      </c>
      <c r="H498" s="9">
        <v>80</v>
      </c>
      <c r="I498" s="9">
        <f t="shared" si="31"/>
        <v>68.45</v>
      </c>
      <c r="J498" s="9"/>
      <c r="K498" s="3">
        <v>21</v>
      </c>
      <c r="L498" s="3">
        <v>1</v>
      </c>
    </row>
    <row r="499" spans="1:12" ht="18.75" customHeight="1">
      <c r="A499" s="3" t="str">
        <f>"10522018022713584982247"</f>
        <v>10522018022713584982247</v>
      </c>
      <c r="B499" s="8" t="s">
        <v>18</v>
      </c>
      <c r="C499" s="9" t="str">
        <f t="shared" si="32"/>
        <v>女</v>
      </c>
      <c r="D499" s="9" t="str">
        <f>"341227199308296727"</f>
        <v>341227199308296727</v>
      </c>
      <c r="E499" s="14" t="str">
        <f t="shared" si="33"/>
        <v>护理</v>
      </c>
      <c r="F499" s="9" t="str">
        <f>"2018011530"</f>
        <v>2018011530</v>
      </c>
      <c r="G499" s="9">
        <v>34.5</v>
      </c>
      <c r="H499" s="9">
        <v>83</v>
      </c>
      <c r="I499" s="9">
        <f t="shared" si="31"/>
        <v>68.449999999999989</v>
      </c>
      <c r="J499" s="9"/>
      <c r="K499" s="3">
        <v>15</v>
      </c>
      <c r="L499" s="3">
        <v>30</v>
      </c>
    </row>
    <row r="500" spans="1:12" ht="18.75" customHeight="1">
      <c r="A500" s="3" t="str">
        <f>"10522018022614144581874"</f>
        <v>10522018022614144581874</v>
      </c>
      <c r="B500" s="8" t="s">
        <v>18</v>
      </c>
      <c r="C500" s="9" t="str">
        <f t="shared" si="32"/>
        <v>女</v>
      </c>
      <c r="D500" s="9" t="str">
        <f>"341227199408157046"</f>
        <v>341227199408157046</v>
      </c>
      <c r="E500" s="14" t="str">
        <f t="shared" si="33"/>
        <v>护理</v>
      </c>
      <c r="F500" s="9" t="str">
        <f>"2018011415"</f>
        <v>2018011415</v>
      </c>
      <c r="G500" s="9">
        <v>31.5</v>
      </c>
      <c r="H500" s="9">
        <v>84</v>
      </c>
      <c r="I500" s="9">
        <f t="shared" si="31"/>
        <v>68.25</v>
      </c>
      <c r="J500" s="9"/>
      <c r="K500" s="3">
        <v>14</v>
      </c>
      <c r="L500" s="3">
        <v>15</v>
      </c>
    </row>
    <row r="501" spans="1:12" ht="18.75" customHeight="1">
      <c r="A501" s="3" t="str">
        <f>"10522018022609354681620"</f>
        <v>10522018022609354681620</v>
      </c>
      <c r="B501" s="8" t="s">
        <v>18</v>
      </c>
      <c r="C501" s="9" t="str">
        <f t="shared" si="32"/>
        <v>女</v>
      </c>
      <c r="D501" s="9" t="str">
        <f>"341223199506202722"</f>
        <v>341223199506202722</v>
      </c>
      <c r="E501" s="14" t="str">
        <f>"护理专业"</f>
        <v>护理专业</v>
      </c>
      <c r="F501" s="9" t="str">
        <f>"2018011419"</f>
        <v>2018011419</v>
      </c>
      <c r="G501" s="9">
        <v>24</v>
      </c>
      <c r="H501" s="9">
        <v>87</v>
      </c>
      <c r="I501" s="9">
        <f t="shared" si="31"/>
        <v>68.099999999999994</v>
      </c>
      <c r="J501" s="9"/>
      <c r="K501" s="3">
        <v>14</v>
      </c>
      <c r="L501" s="3">
        <v>19</v>
      </c>
    </row>
    <row r="502" spans="1:12" ht="18.75" customHeight="1">
      <c r="A502" s="3" t="str">
        <f>"10522018030120273483016"</f>
        <v>10522018030120273483016</v>
      </c>
      <c r="B502" s="8" t="s">
        <v>18</v>
      </c>
      <c r="C502" s="9" t="str">
        <f t="shared" si="32"/>
        <v>女</v>
      </c>
      <c r="D502" s="9" t="str">
        <f>"341204199605201267"</f>
        <v>341204199605201267</v>
      </c>
      <c r="E502" s="14" t="str">
        <f t="shared" ref="E502:E524" si="34">"护理"</f>
        <v>护理</v>
      </c>
      <c r="F502" s="9" t="str">
        <f>"2018011405"</f>
        <v>2018011405</v>
      </c>
      <c r="G502" s="9">
        <v>26</v>
      </c>
      <c r="H502" s="9">
        <v>86</v>
      </c>
      <c r="I502" s="9">
        <f t="shared" si="31"/>
        <v>68</v>
      </c>
      <c r="J502" s="9"/>
      <c r="K502" s="3">
        <v>14</v>
      </c>
      <c r="L502" s="3">
        <v>5</v>
      </c>
    </row>
    <row r="503" spans="1:12" ht="18.75" customHeight="1">
      <c r="A503" s="3" t="str">
        <f>"10522018022609042381567"</f>
        <v>10522018022609042381567</v>
      </c>
      <c r="B503" s="8" t="s">
        <v>18</v>
      </c>
      <c r="C503" s="9" t="str">
        <f t="shared" si="32"/>
        <v>女</v>
      </c>
      <c r="D503" s="9" t="str">
        <f>"341223199709100945"</f>
        <v>341223199709100945</v>
      </c>
      <c r="E503" s="14" t="str">
        <f t="shared" si="34"/>
        <v>护理</v>
      </c>
      <c r="F503" s="9" t="str">
        <f>"2018011427"</f>
        <v>2018011427</v>
      </c>
      <c r="G503" s="9">
        <v>37.5</v>
      </c>
      <c r="H503" s="9">
        <v>81</v>
      </c>
      <c r="I503" s="9">
        <f t="shared" si="31"/>
        <v>67.949999999999989</v>
      </c>
      <c r="J503" s="9"/>
      <c r="K503" s="3">
        <v>14</v>
      </c>
      <c r="L503" s="3">
        <v>27</v>
      </c>
    </row>
    <row r="504" spans="1:12" ht="18.75" customHeight="1">
      <c r="A504" s="3" t="str">
        <f>"10522018022719143082358"</f>
        <v>10522018022719143082358</v>
      </c>
      <c r="B504" s="8" t="s">
        <v>18</v>
      </c>
      <c r="C504" s="9" t="str">
        <f t="shared" si="32"/>
        <v>女</v>
      </c>
      <c r="D504" s="9" t="str">
        <f>"341223199508165347"</f>
        <v>341223199508165347</v>
      </c>
      <c r="E504" s="14" t="str">
        <f t="shared" si="34"/>
        <v>护理</v>
      </c>
      <c r="F504" s="9" t="str">
        <f>"2018011803"</f>
        <v>2018011803</v>
      </c>
      <c r="G504" s="9">
        <v>37.5</v>
      </c>
      <c r="H504" s="9">
        <v>81</v>
      </c>
      <c r="I504" s="9">
        <f t="shared" si="31"/>
        <v>67.949999999999989</v>
      </c>
      <c r="J504" s="9"/>
      <c r="K504" s="3">
        <v>18</v>
      </c>
      <c r="L504" s="3">
        <v>3</v>
      </c>
    </row>
    <row r="505" spans="1:12" ht="18.75" customHeight="1">
      <c r="A505" s="3" t="str">
        <f>"10522018022813000282576"</f>
        <v>10522018022813000282576</v>
      </c>
      <c r="B505" s="8" t="s">
        <v>18</v>
      </c>
      <c r="C505" s="9" t="str">
        <f t="shared" si="32"/>
        <v>女</v>
      </c>
      <c r="D505" s="9" t="str">
        <f>"341227199506121020"</f>
        <v>341227199506121020</v>
      </c>
      <c r="E505" s="14" t="str">
        <f t="shared" si="34"/>
        <v>护理</v>
      </c>
      <c r="F505" s="9" t="str">
        <f>"2018011110"</f>
        <v>2018011110</v>
      </c>
      <c r="G505" s="9">
        <v>45.5</v>
      </c>
      <c r="H505" s="9">
        <v>77.5</v>
      </c>
      <c r="I505" s="9">
        <f t="shared" si="31"/>
        <v>67.900000000000006</v>
      </c>
      <c r="J505" s="9"/>
      <c r="K505" s="3">
        <v>11</v>
      </c>
      <c r="L505" s="3">
        <v>10</v>
      </c>
    </row>
    <row r="506" spans="1:12" ht="18.75" customHeight="1">
      <c r="A506" s="3" t="str">
        <f>"10522018022609482881632"</f>
        <v>10522018022609482881632</v>
      </c>
      <c r="B506" s="8" t="s">
        <v>18</v>
      </c>
      <c r="C506" s="9" t="str">
        <f t="shared" si="32"/>
        <v>女</v>
      </c>
      <c r="D506" s="9" t="str">
        <f>"341223199602072964"</f>
        <v>341223199602072964</v>
      </c>
      <c r="E506" s="14" t="str">
        <f t="shared" si="34"/>
        <v>护理</v>
      </c>
      <c r="F506" s="9" t="str">
        <f>"2018011626"</f>
        <v>2018011626</v>
      </c>
      <c r="G506" s="9">
        <v>46.5</v>
      </c>
      <c r="H506" s="9">
        <v>77</v>
      </c>
      <c r="I506" s="9">
        <f t="shared" si="31"/>
        <v>67.849999999999994</v>
      </c>
      <c r="J506" s="9"/>
      <c r="K506" s="3">
        <v>16</v>
      </c>
      <c r="L506" s="3">
        <v>26</v>
      </c>
    </row>
    <row r="507" spans="1:12" ht="18.75" customHeight="1">
      <c r="A507" s="3" t="str">
        <f>"10522018022814391082618"</f>
        <v>10522018022814391082618</v>
      </c>
      <c r="B507" s="8" t="s">
        <v>18</v>
      </c>
      <c r="C507" s="9" t="str">
        <f t="shared" si="32"/>
        <v>女</v>
      </c>
      <c r="D507" s="9" t="str">
        <f>"342922199705101265"</f>
        <v>342922199705101265</v>
      </c>
      <c r="E507" s="14" t="str">
        <f t="shared" si="34"/>
        <v>护理</v>
      </c>
      <c r="F507" s="9" t="str">
        <f>"2018012103"</f>
        <v>2018012103</v>
      </c>
      <c r="G507" s="9">
        <v>36.5</v>
      </c>
      <c r="H507" s="9">
        <v>81</v>
      </c>
      <c r="I507" s="9">
        <f t="shared" si="31"/>
        <v>67.649999999999991</v>
      </c>
      <c r="J507" s="9"/>
      <c r="K507" s="3">
        <v>21</v>
      </c>
      <c r="L507" s="3">
        <v>3</v>
      </c>
    </row>
    <row r="508" spans="1:12" ht="18.75" customHeight="1">
      <c r="A508" s="3" t="str">
        <f>"10522018022609281081611"</f>
        <v>10522018022609281081611</v>
      </c>
      <c r="B508" s="8" t="s">
        <v>18</v>
      </c>
      <c r="C508" s="9" t="str">
        <f t="shared" si="32"/>
        <v>女</v>
      </c>
      <c r="D508" s="9" t="str">
        <f>"341621199701052722"</f>
        <v>341621199701052722</v>
      </c>
      <c r="E508" s="14" t="str">
        <f t="shared" si="34"/>
        <v>护理</v>
      </c>
      <c r="F508" s="9" t="str">
        <f>"2018010711"</f>
        <v>2018010711</v>
      </c>
      <c r="G508" s="9">
        <v>41</v>
      </c>
      <c r="H508" s="9">
        <v>79</v>
      </c>
      <c r="I508" s="9">
        <f t="shared" si="31"/>
        <v>67.599999999999994</v>
      </c>
      <c r="J508" s="9"/>
      <c r="K508" s="3">
        <v>7</v>
      </c>
      <c r="L508" s="3">
        <v>11</v>
      </c>
    </row>
    <row r="509" spans="1:12" ht="18.75" customHeight="1">
      <c r="A509" s="3" t="str">
        <f>"10522018022611234381758"</f>
        <v>10522018022611234381758</v>
      </c>
      <c r="B509" s="8" t="s">
        <v>18</v>
      </c>
      <c r="C509" s="9" t="str">
        <f t="shared" si="32"/>
        <v>女</v>
      </c>
      <c r="D509" s="9" t="str">
        <f>"34162119940812212X"</f>
        <v>34162119940812212X</v>
      </c>
      <c r="E509" s="14" t="str">
        <f t="shared" si="34"/>
        <v>护理</v>
      </c>
      <c r="F509" s="9" t="str">
        <f>"2018011026"</f>
        <v>2018011026</v>
      </c>
      <c r="G509" s="9">
        <v>34</v>
      </c>
      <c r="H509" s="9">
        <v>82</v>
      </c>
      <c r="I509" s="9">
        <f t="shared" si="31"/>
        <v>67.599999999999994</v>
      </c>
      <c r="J509" s="9"/>
      <c r="K509" s="3">
        <v>10</v>
      </c>
      <c r="L509" s="3">
        <v>26</v>
      </c>
    </row>
    <row r="510" spans="1:12" ht="18.75" customHeight="1">
      <c r="A510" s="3" t="str">
        <f>"10522018022612552781817"</f>
        <v>10522018022612552781817</v>
      </c>
      <c r="B510" s="8" t="s">
        <v>18</v>
      </c>
      <c r="C510" s="9" t="str">
        <f t="shared" si="32"/>
        <v>女</v>
      </c>
      <c r="D510" s="9" t="str">
        <f>"341621199711182141"</f>
        <v>341621199711182141</v>
      </c>
      <c r="E510" s="14" t="str">
        <f t="shared" si="34"/>
        <v>护理</v>
      </c>
      <c r="F510" s="9" t="str">
        <f>"2018012011"</f>
        <v>2018012011</v>
      </c>
      <c r="G510" s="9">
        <v>34</v>
      </c>
      <c r="H510" s="9">
        <v>82</v>
      </c>
      <c r="I510" s="9">
        <f t="shared" si="31"/>
        <v>67.599999999999994</v>
      </c>
      <c r="J510" s="9"/>
      <c r="K510" s="3">
        <v>20</v>
      </c>
      <c r="L510" s="3">
        <v>11</v>
      </c>
    </row>
    <row r="511" spans="1:12" ht="18.75" customHeight="1">
      <c r="A511" s="3" t="str">
        <f>"10522018030210540983105"</f>
        <v>10522018030210540983105</v>
      </c>
      <c r="B511" s="8" t="s">
        <v>18</v>
      </c>
      <c r="C511" s="9" t="str">
        <f t="shared" si="32"/>
        <v>女</v>
      </c>
      <c r="D511" s="9" t="str">
        <f>"341227199609120741"</f>
        <v>341227199609120741</v>
      </c>
      <c r="E511" s="14" t="str">
        <f t="shared" si="34"/>
        <v>护理</v>
      </c>
      <c r="F511" s="9" t="str">
        <f>"2018012123"</f>
        <v>2018012123</v>
      </c>
      <c r="G511" s="9">
        <v>28.5</v>
      </c>
      <c r="H511" s="9">
        <v>84</v>
      </c>
      <c r="I511" s="9">
        <f t="shared" si="31"/>
        <v>67.349999999999994</v>
      </c>
      <c r="J511" s="9"/>
      <c r="K511" s="3">
        <v>21</v>
      </c>
      <c r="L511" s="3">
        <v>23</v>
      </c>
    </row>
    <row r="512" spans="1:12" ht="18.75" customHeight="1">
      <c r="A512" s="3" t="str">
        <f>"10522018022609212281603"</f>
        <v>10522018022609212281603</v>
      </c>
      <c r="B512" s="8" t="s">
        <v>18</v>
      </c>
      <c r="C512" s="9" t="str">
        <f t="shared" si="32"/>
        <v>女</v>
      </c>
      <c r="D512" s="9" t="str">
        <f>"341203199312124425"</f>
        <v>341203199312124425</v>
      </c>
      <c r="E512" s="14" t="str">
        <f t="shared" si="34"/>
        <v>护理</v>
      </c>
      <c r="F512" s="9" t="str">
        <f>"2018010529"</f>
        <v>2018010529</v>
      </c>
      <c r="G512" s="9">
        <v>26</v>
      </c>
      <c r="H512" s="9">
        <v>85</v>
      </c>
      <c r="I512" s="9">
        <f t="shared" si="31"/>
        <v>67.3</v>
      </c>
      <c r="J512" s="9"/>
      <c r="K512" s="3">
        <v>5</v>
      </c>
      <c r="L512" s="3">
        <v>29</v>
      </c>
    </row>
    <row r="513" spans="1:12" ht="18.75" customHeight="1">
      <c r="A513" s="3" t="str">
        <f>"10522018022609525081636"</f>
        <v>10522018022609525081636</v>
      </c>
      <c r="B513" s="8" t="s">
        <v>18</v>
      </c>
      <c r="C513" s="9" t="str">
        <f t="shared" si="32"/>
        <v>女</v>
      </c>
      <c r="D513" s="9" t="str">
        <f>"341223199707061946"</f>
        <v>341223199707061946</v>
      </c>
      <c r="E513" s="14" t="str">
        <f t="shared" si="34"/>
        <v>护理</v>
      </c>
      <c r="F513" s="9" t="str">
        <f>"2018011403"</f>
        <v>2018011403</v>
      </c>
      <c r="G513" s="9">
        <v>40</v>
      </c>
      <c r="H513" s="9">
        <v>79</v>
      </c>
      <c r="I513" s="9">
        <f t="shared" si="31"/>
        <v>67.3</v>
      </c>
      <c r="J513" s="9"/>
      <c r="K513" s="3">
        <v>14</v>
      </c>
      <c r="L513" s="3">
        <v>3</v>
      </c>
    </row>
    <row r="514" spans="1:12" ht="18.75" customHeight="1">
      <c r="A514" s="3" t="str">
        <f>"10522018030113391382896"</f>
        <v>10522018030113391382896</v>
      </c>
      <c r="B514" s="8" t="s">
        <v>18</v>
      </c>
      <c r="C514" s="9" t="str">
        <f t="shared" si="32"/>
        <v>女</v>
      </c>
      <c r="D514" s="9" t="str">
        <f>"341227199705058028"</f>
        <v>341227199705058028</v>
      </c>
      <c r="E514" s="14" t="str">
        <f t="shared" si="34"/>
        <v>护理</v>
      </c>
      <c r="F514" s="9" t="str">
        <f>"2018010910"</f>
        <v>2018010910</v>
      </c>
      <c r="G514" s="9">
        <v>23.5</v>
      </c>
      <c r="H514" s="9">
        <v>86</v>
      </c>
      <c r="I514" s="9">
        <f t="shared" si="31"/>
        <v>67.25</v>
      </c>
      <c r="J514" s="9"/>
      <c r="K514" s="3">
        <v>9</v>
      </c>
      <c r="L514" s="3">
        <v>10</v>
      </c>
    </row>
    <row r="515" spans="1:12" ht="18.75" customHeight="1">
      <c r="A515" s="3" t="str">
        <f>"10522018022611180681751"</f>
        <v>10522018022611180681751</v>
      </c>
      <c r="B515" s="8" t="s">
        <v>18</v>
      </c>
      <c r="C515" s="9" t="str">
        <f t="shared" si="32"/>
        <v>女</v>
      </c>
      <c r="D515" s="9" t="str">
        <f>"341223199504031923"</f>
        <v>341223199504031923</v>
      </c>
      <c r="E515" s="14" t="str">
        <f t="shared" si="34"/>
        <v>护理</v>
      </c>
      <c r="F515" s="9" t="str">
        <f>"2018011018"</f>
        <v>2018011018</v>
      </c>
      <c r="G515" s="9">
        <v>23.5</v>
      </c>
      <c r="H515" s="9">
        <v>86</v>
      </c>
      <c r="I515" s="9">
        <f t="shared" ref="I515:I578" si="35">G515*0.3+H515*0.7</f>
        <v>67.25</v>
      </c>
      <c r="J515" s="9"/>
      <c r="K515" s="3">
        <v>10</v>
      </c>
      <c r="L515" s="3">
        <v>18</v>
      </c>
    </row>
    <row r="516" spans="1:12" ht="18.75" customHeight="1">
      <c r="A516" s="3" t="str">
        <f>"10522018022609140481593"</f>
        <v>10522018022609140481593</v>
      </c>
      <c r="B516" s="8" t="s">
        <v>18</v>
      </c>
      <c r="C516" s="9" t="str">
        <f t="shared" si="32"/>
        <v>女</v>
      </c>
      <c r="D516" s="9" t="str">
        <f>"341223199405202125"</f>
        <v>341223199405202125</v>
      </c>
      <c r="E516" s="14" t="str">
        <f t="shared" si="34"/>
        <v>护理</v>
      </c>
      <c r="F516" s="9" t="str">
        <f>"2018011701"</f>
        <v>2018011701</v>
      </c>
      <c r="G516" s="9">
        <v>28</v>
      </c>
      <c r="H516" s="9">
        <v>84</v>
      </c>
      <c r="I516" s="9">
        <f t="shared" si="35"/>
        <v>67.2</v>
      </c>
      <c r="J516" s="9"/>
      <c r="K516" s="3">
        <v>17</v>
      </c>
      <c r="L516" s="3">
        <v>1</v>
      </c>
    </row>
    <row r="517" spans="1:12" ht="18.75" customHeight="1">
      <c r="A517" s="3" t="str">
        <f>"10522018022617044781972"</f>
        <v>10522018022617044781972</v>
      </c>
      <c r="B517" s="8" t="s">
        <v>18</v>
      </c>
      <c r="C517" s="9" t="str">
        <f t="shared" si="32"/>
        <v>女</v>
      </c>
      <c r="D517" s="9" t="str">
        <f>"341223199710191522"</f>
        <v>341223199710191522</v>
      </c>
      <c r="E517" s="14" t="str">
        <f t="shared" si="34"/>
        <v>护理</v>
      </c>
      <c r="F517" s="9" t="str">
        <f>"2018011928"</f>
        <v>2018011928</v>
      </c>
      <c r="G517" s="9">
        <v>21</v>
      </c>
      <c r="H517" s="9">
        <v>87</v>
      </c>
      <c r="I517" s="9">
        <f t="shared" si="35"/>
        <v>67.2</v>
      </c>
      <c r="J517" s="9"/>
      <c r="K517" s="3">
        <v>19</v>
      </c>
      <c r="L517" s="3">
        <v>28</v>
      </c>
    </row>
    <row r="518" spans="1:12" ht="18.75" customHeight="1">
      <c r="A518" s="3" t="str">
        <f>"10522018030110352382825"</f>
        <v>10522018030110352382825</v>
      </c>
      <c r="B518" s="8" t="s">
        <v>18</v>
      </c>
      <c r="C518" s="9" t="str">
        <f t="shared" si="32"/>
        <v>女</v>
      </c>
      <c r="D518" s="9" t="str">
        <f>"341204199702061462"</f>
        <v>341204199702061462</v>
      </c>
      <c r="E518" s="14" t="str">
        <f t="shared" si="34"/>
        <v>护理</v>
      </c>
      <c r="F518" s="9" t="str">
        <f>"2018010613"</f>
        <v>2018010613</v>
      </c>
      <c r="G518" s="9">
        <v>37</v>
      </c>
      <c r="H518" s="9">
        <v>80</v>
      </c>
      <c r="I518" s="9">
        <f t="shared" si="35"/>
        <v>67.099999999999994</v>
      </c>
      <c r="J518" s="9"/>
      <c r="K518" s="3">
        <v>6</v>
      </c>
      <c r="L518" s="3">
        <v>13</v>
      </c>
    </row>
    <row r="519" spans="1:12" ht="18.75" customHeight="1">
      <c r="A519" s="3" t="str">
        <f>"10522018022620013982045"</f>
        <v>10522018022620013982045</v>
      </c>
      <c r="B519" s="8" t="s">
        <v>18</v>
      </c>
      <c r="C519" s="9" t="str">
        <f t="shared" si="32"/>
        <v>女</v>
      </c>
      <c r="D519" s="9" t="str">
        <f>"412824199509033520"</f>
        <v>412824199509033520</v>
      </c>
      <c r="E519" s="14" t="str">
        <f t="shared" si="34"/>
        <v>护理</v>
      </c>
      <c r="F519" s="9" t="str">
        <f>"2018010716"</f>
        <v>2018010716</v>
      </c>
      <c r="G519" s="9">
        <v>30</v>
      </c>
      <c r="H519" s="9">
        <v>83</v>
      </c>
      <c r="I519" s="9">
        <f t="shared" si="35"/>
        <v>67.099999999999994</v>
      </c>
      <c r="J519" s="9"/>
      <c r="K519" s="3">
        <v>7</v>
      </c>
      <c r="L519" s="3">
        <v>16</v>
      </c>
    </row>
    <row r="520" spans="1:12" ht="18.75" customHeight="1">
      <c r="A520" s="3" t="str">
        <f>"10522018022620314682062"</f>
        <v>10522018022620314682062</v>
      </c>
      <c r="B520" s="8" t="s">
        <v>18</v>
      </c>
      <c r="C520" s="9" t="str">
        <f t="shared" si="32"/>
        <v>女</v>
      </c>
      <c r="D520" s="9" t="str">
        <f>"341227199704022023"</f>
        <v>341227199704022023</v>
      </c>
      <c r="E520" s="14" t="str">
        <f t="shared" si="34"/>
        <v>护理</v>
      </c>
      <c r="F520" s="9" t="str">
        <f>"2018010904"</f>
        <v>2018010904</v>
      </c>
      <c r="G520" s="9">
        <v>37</v>
      </c>
      <c r="H520" s="9">
        <v>80</v>
      </c>
      <c r="I520" s="9">
        <f t="shared" si="35"/>
        <v>67.099999999999994</v>
      </c>
      <c r="J520" s="9"/>
      <c r="K520" s="3">
        <v>9</v>
      </c>
      <c r="L520" s="3">
        <v>4</v>
      </c>
    </row>
    <row r="521" spans="1:12" ht="18.75" customHeight="1">
      <c r="A521" s="3" t="str">
        <f>"10522018030118211082986"</f>
        <v>10522018030118211082986</v>
      </c>
      <c r="B521" s="8" t="s">
        <v>18</v>
      </c>
      <c r="C521" s="9" t="str">
        <f t="shared" si="32"/>
        <v>女</v>
      </c>
      <c r="D521" s="9" t="str">
        <f>"341623199403206028"</f>
        <v>341623199403206028</v>
      </c>
      <c r="E521" s="14" t="str">
        <f t="shared" si="34"/>
        <v>护理</v>
      </c>
      <c r="F521" s="9" t="str">
        <f>"2018011016"</f>
        <v>2018011016</v>
      </c>
      <c r="G521" s="9">
        <v>37</v>
      </c>
      <c r="H521" s="9">
        <v>80</v>
      </c>
      <c r="I521" s="9">
        <f t="shared" si="35"/>
        <v>67.099999999999994</v>
      </c>
      <c r="J521" s="9"/>
      <c r="K521" s="3">
        <v>10</v>
      </c>
      <c r="L521" s="3">
        <v>16</v>
      </c>
    </row>
    <row r="522" spans="1:12" ht="18.75" customHeight="1">
      <c r="A522" s="3" t="str">
        <f>"10522018022610130781660"</f>
        <v>10522018022610130781660</v>
      </c>
      <c r="B522" s="8" t="s">
        <v>18</v>
      </c>
      <c r="C522" s="9" t="str">
        <f t="shared" ref="C522:C585" si="36">"女"</f>
        <v>女</v>
      </c>
      <c r="D522" s="9" t="str">
        <f>"341223199502113167"</f>
        <v>341223199502113167</v>
      </c>
      <c r="E522" s="14" t="str">
        <f t="shared" si="34"/>
        <v>护理</v>
      </c>
      <c r="F522" s="9" t="str">
        <f>"2018011524"</f>
        <v>2018011524</v>
      </c>
      <c r="G522" s="9">
        <v>30</v>
      </c>
      <c r="H522" s="9">
        <v>83</v>
      </c>
      <c r="I522" s="9">
        <f t="shared" si="35"/>
        <v>67.099999999999994</v>
      </c>
      <c r="J522" s="9"/>
      <c r="K522" s="3">
        <v>15</v>
      </c>
      <c r="L522" s="3">
        <v>24</v>
      </c>
    </row>
    <row r="523" spans="1:12" ht="18.75" customHeight="1">
      <c r="A523" s="3" t="str">
        <f>"10522018022717573382321"</f>
        <v>10522018022717573382321</v>
      </c>
      <c r="B523" s="8" t="s">
        <v>18</v>
      </c>
      <c r="C523" s="9" t="str">
        <f t="shared" si="36"/>
        <v>女</v>
      </c>
      <c r="D523" s="9" t="str">
        <f>"341227199511014828"</f>
        <v>341227199511014828</v>
      </c>
      <c r="E523" s="14" t="str">
        <f t="shared" si="34"/>
        <v>护理</v>
      </c>
      <c r="F523" s="9" t="str">
        <f>"2018011917"</f>
        <v>2018011917</v>
      </c>
      <c r="G523" s="9">
        <v>23</v>
      </c>
      <c r="H523" s="9">
        <v>86</v>
      </c>
      <c r="I523" s="9">
        <f t="shared" si="35"/>
        <v>67.099999999999994</v>
      </c>
      <c r="J523" s="9"/>
      <c r="K523" s="3">
        <v>19</v>
      </c>
      <c r="L523" s="3">
        <v>17</v>
      </c>
    </row>
    <row r="524" spans="1:12" ht="18.75" customHeight="1">
      <c r="A524" s="3" t="str">
        <f>"10522018022609311281614"</f>
        <v>10522018022609311281614</v>
      </c>
      <c r="B524" s="8" t="s">
        <v>18</v>
      </c>
      <c r="C524" s="9" t="str">
        <f t="shared" si="36"/>
        <v>女</v>
      </c>
      <c r="D524" s="9" t="str">
        <f>"341281199704064627"</f>
        <v>341281199704064627</v>
      </c>
      <c r="E524" s="14" t="str">
        <f t="shared" si="34"/>
        <v>护理</v>
      </c>
      <c r="F524" s="9" t="str">
        <f>"2018010527"</f>
        <v>2018010527</v>
      </c>
      <c r="G524" s="9">
        <v>34.5</v>
      </c>
      <c r="H524" s="9">
        <v>81</v>
      </c>
      <c r="I524" s="9">
        <f t="shared" si="35"/>
        <v>67.05</v>
      </c>
      <c r="J524" s="9"/>
      <c r="K524" s="3">
        <v>5</v>
      </c>
      <c r="L524" s="3">
        <v>27</v>
      </c>
    </row>
    <row r="525" spans="1:12" ht="18.75" customHeight="1">
      <c r="A525" s="3" t="str">
        <f>"10522018022715584782295"</f>
        <v>10522018022715584782295</v>
      </c>
      <c r="B525" s="8" t="s">
        <v>18</v>
      </c>
      <c r="C525" s="9" t="str">
        <f t="shared" si="36"/>
        <v>女</v>
      </c>
      <c r="D525" s="9" t="str">
        <f>"341622199701120947"</f>
        <v>341622199701120947</v>
      </c>
      <c r="E525" s="14" t="str">
        <f>"护理专业"</f>
        <v>护理专业</v>
      </c>
      <c r="F525" s="9" t="str">
        <f>"2018011205"</f>
        <v>2018011205</v>
      </c>
      <c r="G525" s="9">
        <v>20.5</v>
      </c>
      <c r="H525" s="9">
        <v>87</v>
      </c>
      <c r="I525" s="9">
        <f t="shared" si="35"/>
        <v>67.05</v>
      </c>
      <c r="J525" s="9"/>
      <c r="K525" s="3">
        <v>12</v>
      </c>
      <c r="L525" s="3">
        <v>5</v>
      </c>
    </row>
    <row r="526" spans="1:12" ht="18.75" customHeight="1">
      <c r="A526" s="3" t="str">
        <f>"10522018022616100681945"</f>
        <v>10522018022616100681945</v>
      </c>
      <c r="B526" s="8" t="s">
        <v>18</v>
      </c>
      <c r="C526" s="9" t="str">
        <f t="shared" si="36"/>
        <v>女</v>
      </c>
      <c r="D526" s="9" t="str">
        <f>"341621199508292927"</f>
        <v>341621199508292927</v>
      </c>
      <c r="E526" s="14" t="str">
        <f t="shared" ref="E526:E545" si="37">"护理"</f>
        <v>护理</v>
      </c>
      <c r="F526" s="9" t="str">
        <f>"2018011830"</f>
        <v>2018011830</v>
      </c>
      <c r="G526" s="9">
        <v>41.5</v>
      </c>
      <c r="H526" s="9">
        <v>78</v>
      </c>
      <c r="I526" s="9">
        <f t="shared" si="35"/>
        <v>67.05</v>
      </c>
      <c r="J526" s="9"/>
      <c r="K526" s="3">
        <v>18</v>
      </c>
      <c r="L526" s="3">
        <v>30</v>
      </c>
    </row>
    <row r="527" spans="1:12" ht="18.75" customHeight="1">
      <c r="A527" s="3" t="str">
        <f>"10522018022609590781643"</f>
        <v>10522018022609590781643</v>
      </c>
      <c r="B527" s="8" t="s">
        <v>18</v>
      </c>
      <c r="C527" s="9" t="str">
        <f t="shared" si="36"/>
        <v>女</v>
      </c>
      <c r="D527" s="9" t="str">
        <f>"341223199401071121"</f>
        <v>341223199401071121</v>
      </c>
      <c r="E527" s="14" t="str">
        <f t="shared" si="37"/>
        <v>护理</v>
      </c>
      <c r="F527" s="9" t="str">
        <f>"2018010725"</f>
        <v>2018010725</v>
      </c>
      <c r="G527" s="9">
        <v>32</v>
      </c>
      <c r="H527" s="9">
        <v>82</v>
      </c>
      <c r="I527" s="9">
        <f t="shared" si="35"/>
        <v>67</v>
      </c>
      <c r="J527" s="9"/>
      <c r="K527" s="3">
        <v>7</v>
      </c>
      <c r="L527" s="3">
        <v>25</v>
      </c>
    </row>
    <row r="528" spans="1:12" ht="18.75" customHeight="1">
      <c r="A528" s="3" t="str">
        <f>"10522018022716134082299"</f>
        <v>10522018022716134082299</v>
      </c>
      <c r="B528" s="8" t="s">
        <v>18</v>
      </c>
      <c r="C528" s="9" t="str">
        <f t="shared" si="36"/>
        <v>女</v>
      </c>
      <c r="D528" s="9" t="str">
        <f>"341227199804011524"</f>
        <v>341227199804011524</v>
      </c>
      <c r="E528" s="14" t="str">
        <f t="shared" si="37"/>
        <v>护理</v>
      </c>
      <c r="F528" s="9" t="str">
        <f>"2018011120"</f>
        <v>2018011120</v>
      </c>
      <c r="G528" s="9">
        <v>27</v>
      </c>
      <c r="H528" s="9">
        <v>84</v>
      </c>
      <c r="I528" s="9">
        <f t="shared" si="35"/>
        <v>66.899999999999991</v>
      </c>
      <c r="J528" s="9"/>
      <c r="K528" s="3">
        <v>11</v>
      </c>
      <c r="L528" s="3">
        <v>20</v>
      </c>
    </row>
    <row r="529" spans="1:12" ht="18.75" customHeight="1">
      <c r="A529" s="3" t="str">
        <f>"10522018022709323582147"</f>
        <v>10522018022709323582147</v>
      </c>
      <c r="B529" s="8" t="s">
        <v>18</v>
      </c>
      <c r="C529" s="9" t="str">
        <f t="shared" si="36"/>
        <v>女</v>
      </c>
      <c r="D529" s="9" t="str">
        <f>"34122319960112454X"</f>
        <v>34122319960112454X</v>
      </c>
      <c r="E529" s="14" t="str">
        <f t="shared" si="37"/>
        <v>护理</v>
      </c>
      <c r="F529" s="9" t="str">
        <f>"2018011326"</f>
        <v>2018011326</v>
      </c>
      <c r="G529" s="9">
        <v>38.5</v>
      </c>
      <c r="H529" s="9">
        <v>79</v>
      </c>
      <c r="I529" s="9">
        <f t="shared" si="35"/>
        <v>66.849999999999994</v>
      </c>
      <c r="J529" s="9"/>
      <c r="K529" s="3">
        <v>13</v>
      </c>
      <c r="L529" s="3">
        <v>26</v>
      </c>
    </row>
    <row r="530" spans="1:12" ht="18.75" customHeight="1">
      <c r="A530" s="3" t="str">
        <f>"10522018022614264981879"</f>
        <v>10522018022614264981879</v>
      </c>
      <c r="B530" s="8" t="s">
        <v>18</v>
      </c>
      <c r="C530" s="9" t="str">
        <f t="shared" si="36"/>
        <v>女</v>
      </c>
      <c r="D530" s="9" t="str">
        <f>"341223199703065368"</f>
        <v>341223199703065368</v>
      </c>
      <c r="E530" s="14" t="str">
        <f t="shared" si="37"/>
        <v>护理</v>
      </c>
      <c r="F530" s="9" t="str">
        <f>"2018010615"</f>
        <v>2018010615</v>
      </c>
      <c r="G530" s="9">
        <v>36</v>
      </c>
      <c r="H530" s="9">
        <v>80</v>
      </c>
      <c r="I530" s="9">
        <f t="shared" si="35"/>
        <v>66.8</v>
      </c>
      <c r="J530" s="9"/>
      <c r="K530" s="3">
        <v>6</v>
      </c>
      <c r="L530" s="3">
        <v>15</v>
      </c>
    </row>
    <row r="531" spans="1:12" ht="18.75" customHeight="1">
      <c r="A531" s="3" t="str">
        <f>"10522018030116044982944"</f>
        <v>10522018030116044982944</v>
      </c>
      <c r="B531" s="8" t="s">
        <v>18</v>
      </c>
      <c r="C531" s="9" t="str">
        <f t="shared" si="36"/>
        <v>女</v>
      </c>
      <c r="D531" s="9" t="str">
        <f>"341224199305140541"</f>
        <v>341224199305140541</v>
      </c>
      <c r="E531" s="14" t="str">
        <f t="shared" si="37"/>
        <v>护理</v>
      </c>
      <c r="F531" s="9" t="str">
        <f>"2018011718"</f>
        <v>2018011718</v>
      </c>
      <c r="G531" s="9">
        <v>26.5</v>
      </c>
      <c r="H531" s="9">
        <v>84</v>
      </c>
      <c r="I531" s="9">
        <f t="shared" si="35"/>
        <v>66.75</v>
      </c>
      <c r="J531" s="9"/>
      <c r="K531" s="3">
        <v>17</v>
      </c>
      <c r="L531" s="3">
        <v>18</v>
      </c>
    </row>
    <row r="532" spans="1:12" ht="18.75" customHeight="1">
      <c r="A532" s="3" t="str">
        <f>"10522018022711132882194"</f>
        <v>10522018022711132882194</v>
      </c>
      <c r="B532" s="8" t="s">
        <v>18</v>
      </c>
      <c r="C532" s="9" t="str">
        <f t="shared" si="36"/>
        <v>女</v>
      </c>
      <c r="D532" s="9" t="str">
        <f>"341221199611181780"</f>
        <v>341221199611181780</v>
      </c>
      <c r="E532" s="14" t="str">
        <f t="shared" si="37"/>
        <v>护理</v>
      </c>
      <c r="F532" s="9" t="str">
        <f>"2018011715"</f>
        <v>2018011715</v>
      </c>
      <c r="G532" s="9">
        <v>31</v>
      </c>
      <c r="H532" s="9">
        <v>82</v>
      </c>
      <c r="I532" s="9">
        <f t="shared" si="35"/>
        <v>66.7</v>
      </c>
      <c r="J532" s="9"/>
      <c r="K532" s="3">
        <v>17</v>
      </c>
      <c r="L532" s="3">
        <v>15</v>
      </c>
    </row>
    <row r="533" spans="1:12" ht="18.75" customHeight="1">
      <c r="A533" s="3" t="str">
        <f>"10522018022716060882297"</f>
        <v>10522018022716060882297</v>
      </c>
      <c r="B533" s="8" t="s">
        <v>18</v>
      </c>
      <c r="C533" s="9" t="str">
        <f t="shared" si="36"/>
        <v>女</v>
      </c>
      <c r="D533" s="9" t="str">
        <f>"341223199809102788"</f>
        <v>341223199809102788</v>
      </c>
      <c r="E533" s="14" t="str">
        <f t="shared" si="37"/>
        <v>护理</v>
      </c>
      <c r="F533" s="9" t="str">
        <f>"2018011218"</f>
        <v>2018011218</v>
      </c>
      <c r="G533" s="9">
        <v>35</v>
      </c>
      <c r="H533" s="9">
        <v>80</v>
      </c>
      <c r="I533" s="9">
        <f t="shared" si="35"/>
        <v>66.5</v>
      </c>
      <c r="J533" s="9"/>
      <c r="K533" s="3">
        <v>12</v>
      </c>
      <c r="L533" s="3">
        <v>18</v>
      </c>
    </row>
    <row r="534" spans="1:12" ht="18.75" customHeight="1">
      <c r="A534" s="3" t="str">
        <f>"10522018022620334582064"</f>
        <v>10522018022620334582064</v>
      </c>
      <c r="B534" s="8" t="s">
        <v>18</v>
      </c>
      <c r="C534" s="9" t="str">
        <f t="shared" si="36"/>
        <v>女</v>
      </c>
      <c r="D534" s="9" t="str">
        <f>"341225199503174925"</f>
        <v>341225199503174925</v>
      </c>
      <c r="E534" s="14" t="str">
        <f t="shared" si="37"/>
        <v>护理</v>
      </c>
      <c r="F534" s="9" t="str">
        <f>"2018010710"</f>
        <v>2018010710</v>
      </c>
      <c r="G534" s="9">
        <v>41.5</v>
      </c>
      <c r="H534" s="9">
        <v>77</v>
      </c>
      <c r="I534" s="9">
        <f t="shared" si="35"/>
        <v>66.349999999999994</v>
      </c>
      <c r="J534" s="9"/>
      <c r="K534" s="3">
        <v>7</v>
      </c>
      <c r="L534" s="3">
        <v>10</v>
      </c>
    </row>
    <row r="535" spans="1:12" ht="18.75" customHeight="1">
      <c r="A535" s="3" t="str">
        <f>"10522018022613022981828"</f>
        <v>10522018022613022981828</v>
      </c>
      <c r="B535" s="8" t="s">
        <v>18</v>
      </c>
      <c r="C535" s="9" t="str">
        <f t="shared" si="36"/>
        <v>女</v>
      </c>
      <c r="D535" s="9" t="str">
        <f>"341281199802188666"</f>
        <v>341281199802188666</v>
      </c>
      <c r="E535" s="14" t="str">
        <f t="shared" si="37"/>
        <v>护理</v>
      </c>
      <c r="F535" s="9" t="str">
        <f>"2018011525"</f>
        <v>2018011525</v>
      </c>
      <c r="G535" s="9">
        <v>29.5</v>
      </c>
      <c r="H535" s="9">
        <v>82</v>
      </c>
      <c r="I535" s="9">
        <f t="shared" si="35"/>
        <v>66.25</v>
      </c>
      <c r="J535" s="9"/>
      <c r="K535" s="3">
        <v>15</v>
      </c>
      <c r="L535" s="3">
        <v>25</v>
      </c>
    </row>
    <row r="536" spans="1:12" ht="18.75" customHeight="1">
      <c r="A536" s="3" t="str">
        <f>"10522018022609044581568"</f>
        <v>10522018022609044581568</v>
      </c>
      <c r="B536" s="8" t="s">
        <v>18</v>
      </c>
      <c r="C536" s="9" t="str">
        <f t="shared" si="36"/>
        <v>女</v>
      </c>
      <c r="D536" s="9" t="str">
        <f>"341621199804134122"</f>
        <v>341621199804134122</v>
      </c>
      <c r="E536" s="14" t="str">
        <f t="shared" si="37"/>
        <v>护理</v>
      </c>
      <c r="F536" s="9" t="str">
        <f>"2018010604"</f>
        <v>2018010604</v>
      </c>
      <c r="G536" s="9">
        <v>27</v>
      </c>
      <c r="H536" s="9">
        <v>83</v>
      </c>
      <c r="I536" s="9">
        <f t="shared" si="35"/>
        <v>66.199999999999989</v>
      </c>
      <c r="J536" s="9"/>
      <c r="K536" s="3">
        <v>6</v>
      </c>
      <c r="L536" s="3">
        <v>4</v>
      </c>
    </row>
    <row r="537" spans="1:12" ht="18.75" customHeight="1">
      <c r="A537" s="3" t="str">
        <f>"10522018022610091881653"</f>
        <v>10522018022610091881653</v>
      </c>
      <c r="B537" s="8" t="s">
        <v>18</v>
      </c>
      <c r="C537" s="9" t="str">
        <f t="shared" si="36"/>
        <v>女</v>
      </c>
      <c r="D537" s="9" t="str">
        <f>"342622199701127963"</f>
        <v>342622199701127963</v>
      </c>
      <c r="E537" s="14" t="str">
        <f t="shared" si="37"/>
        <v>护理</v>
      </c>
      <c r="F537" s="9" t="str">
        <f>"2018011323"</f>
        <v>2018011323</v>
      </c>
      <c r="G537" s="9">
        <v>29</v>
      </c>
      <c r="H537" s="9">
        <v>82</v>
      </c>
      <c r="I537" s="9">
        <f t="shared" si="35"/>
        <v>66.099999999999994</v>
      </c>
      <c r="J537" s="9"/>
      <c r="K537" s="3">
        <v>13</v>
      </c>
      <c r="L537" s="3">
        <v>23</v>
      </c>
    </row>
    <row r="538" spans="1:12" ht="18.75" customHeight="1">
      <c r="A538" s="3" t="str">
        <f>"10522018030208040183068"</f>
        <v>10522018030208040183068</v>
      </c>
      <c r="B538" s="8" t="s">
        <v>18</v>
      </c>
      <c r="C538" s="9" t="str">
        <f t="shared" si="36"/>
        <v>女</v>
      </c>
      <c r="D538" s="9" t="str">
        <f>"341621199403082122"</f>
        <v>341621199403082122</v>
      </c>
      <c r="E538" s="14" t="str">
        <f t="shared" si="37"/>
        <v>护理</v>
      </c>
      <c r="F538" s="9" t="str">
        <f>"2018010926"</f>
        <v>2018010926</v>
      </c>
      <c r="G538" s="9">
        <v>26.5</v>
      </c>
      <c r="H538" s="9">
        <v>83</v>
      </c>
      <c r="I538" s="9">
        <f t="shared" si="35"/>
        <v>66.05</v>
      </c>
      <c r="J538" s="9"/>
      <c r="K538" s="3">
        <v>9</v>
      </c>
      <c r="L538" s="3">
        <v>26</v>
      </c>
    </row>
    <row r="539" spans="1:12" ht="18.75" customHeight="1">
      <c r="A539" s="3" t="str">
        <f>"10522018022822204482761"</f>
        <v>10522018022822204482761</v>
      </c>
      <c r="B539" s="8" t="s">
        <v>18</v>
      </c>
      <c r="C539" s="9" t="str">
        <f t="shared" si="36"/>
        <v>女</v>
      </c>
      <c r="D539" s="9" t="str">
        <f>"341223199507225520"</f>
        <v>341223199507225520</v>
      </c>
      <c r="E539" s="14" t="str">
        <f t="shared" si="37"/>
        <v>护理</v>
      </c>
      <c r="F539" s="9" t="str">
        <f>"2018011401"</f>
        <v>2018011401</v>
      </c>
      <c r="G539" s="9">
        <v>37.5</v>
      </c>
      <c r="H539" s="9">
        <v>78</v>
      </c>
      <c r="I539" s="9">
        <f t="shared" si="35"/>
        <v>65.849999999999994</v>
      </c>
      <c r="J539" s="9"/>
      <c r="K539" s="3">
        <v>14</v>
      </c>
      <c r="L539" s="3">
        <v>1</v>
      </c>
    </row>
    <row r="540" spans="1:12" ht="18.75" customHeight="1">
      <c r="A540" s="3" t="str">
        <f>"10522018022814082382610"</f>
        <v>10522018022814082382610</v>
      </c>
      <c r="B540" s="8" t="s">
        <v>18</v>
      </c>
      <c r="C540" s="9" t="str">
        <f t="shared" si="36"/>
        <v>女</v>
      </c>
      <c r="D540" s="9" t="str">
        <f>"341223199710181922"</f>
        <v>341223199710181922</v>
      </c>
      <c r="E540" s="14" t="str">
        <f t="shared" si="37"/>
        <v>护理</v>
      </c>
      <c r="F540" s="9" t="str">
        <f>"2018011820"</f>
        <v>2018011820</v>
      </c>
      <c r="G540" s="9">
        <v>44.5</v>
      </c>
      <c r="H540" s="9">
        <v>75</v>
      </c>
      <c r="I540" s="9">
        <f t="shared" si="35"/>
        <v>65.849999999999994</v>
      </c>
      <c r="J540" s="9"/>
      <c r="K540" s="3">
        <v>18</v>
      </c>
      <c r="L540" s="3">
        <v>20</v>
      </c>
    </row>
    <row r="541" spans="1:12" ht="18.75" customHeight="1">
      <c r="A541" s="3" t="str">
        <f>"10522018022810451582523"</f>
        <v>10522018022810451582523</v>
      </c>
      <c r="B541" s="8" t="s">
        <v>18</v>
      </c>
      <c r="C541" s="9" t="str">
        <f t="shared" si="36"/>
        <v>女</v>
      </c>
      <c r="D541" s="9" t="str">
        <f>"341223199807054524"</f>
        <v>341223199807054524</v>
      </c>
      <c r="E541" s="14" t="str">
        <f t="shared" si="37"/>
        <v>护理</v>
      </c>
      <c r="F541" s="9" t="str">
        <f>"2018011228"</f>
        <v>2018011228</v>
      </c>
      <c r="G541" s="9">
        <v>37</v>
      </c>
      <c r="H541" s="9">
        <v>78</v>
      </c>
      <c r="I541" s="9">
        <f t="shared" si="35"/>
        <v>65.699999999999989</v>
      </c>
      <c r="J541" s="9"/>
      <c r="K541" s="3">
        <v>12</v>
      </c>
      <c r="L541" s="3">
        <v>28</v>
      </c>
    </row>
    <row r="542" spans="1:12" ht="18.75" customHeight="1">
      <c r="A542" s="3" t="str">
        <f>"10522018022618203182010"</f>
        <v>10522018022618203182010</v>
      </c>
      <c r="B542" s="8" t="s">
        <v>18</v>
      </c>
      <c r="C542" s="9" t="str">
        <f t="shared" si="36"/>
        <v>女</v>
      </c>
      <c r="D542" s="9" t="str">
        <f>"341223199310010067"</f>
        <v>341223199310010067</v>
      </c>
      <c r="E542" s="14" t="str">
        <f t="shared" si="37"/>
        <v>护理</v>
      </c>
      <c r="F542" s="9" t="str">
        <f>"2018011730"</f>
        <v>2018011730</v>
      </c>
      <c r="G542" s="9">
        <v>37</v>
      </c>
      <c r="H542" s="9">
        <v>78</v>
      </c>
      <c r="I542" s="9">
        <f t="shared" si="35"/>
        <v>65.699999999999989</v>
      </c>
      <c r="J542" s="9"/>
      <c r="K542" s="3">
        <v>17</v>
      </c>
      <c r="L542" s="3">
        <v>30</v>
      </c>
    </row>
    <row r="543" spans="1:12" ht="18.75" customHeight="1">
      <c r="A543" s="3" t="str">
        <f>"10522018022609062781572"</f>
        <v>10522018022609062781572</v>
      </c>
      <c r="B543" s="8" t="s">
        <v>18</v>
      </c>
      <c r="C543" s="9" t="str">
        <f t="shared" si="36"/>
        <v>女</v>
      </c>
      <c r="D543" s="9" t="str">
        <f>"34162119980112552X"</f>
        <v>34162119980112552X</v>
      </c>
      <c r="E543" s="14" t="str">
        <f t="shared" si="37"/>
        <v>护理</v>
      </c>
      <c r="F543" s="9" t="str">
        <f>"2018010729"</f>
        <v>2018010729</v>
      </c>
      <c r="G543" s="9">
        <v>41.5</v>
      </c>
      <c r="H543" s="9">
        <v>76</v>
      </c>
      <c r="I543" s="9">
        <f t="shared" si="35"/>
        <v>65.649999999999991</v>
      </c>
      <c r="J543" s="9"/>
      <c r="K543" s="3">
        <v>7</v>
      </c>
      <c r="L543" s="3">
        <v>29</v>
      </c>
    </row>
    <row r="544" spans="1:12" ht="18.75" customHeight="1">
      <c r="A544" s="3" t="str">
        <f>"10522018022609505881634"</f>
        <v>10522018022609505881634</v>
      </c>
      <c r="B544" s="8" t="s">
        <v>18</v>
      </c>
      <c r="C544" s="9" t="str">
        <f t="shared" si="36"/>
        <v>女</v>
      </c>
      <c r="D544" s="9" t="str">
        <f>"341223199710011122"</f>
        <v>341223199710011122</v>
      </c>
      <c r="E544" s="14" t="str">
        <f t="shared" si="37"/>
        <v>护理</v>
      </c>
      <c r="F544" s="9" t="str">
        <f>"2018011620"</f>
        <v>2018011620</v>
      </c>
      <c r="G544" s="9">
        <v>34.5</v>
      </c>
      <c r="H544" s="9">
        <v>79</v>
      </c>
      <c r="I544" s="9">
        <f t="shared" si="35"/>
        <v>65.649999999999991</v>
      </c>
      <c r="J544" s="9"/>
      <c r="K544" s="3">
        <v>16</v>
      </c>
      <c r="L544" s="3">
        <v>20</v>
      </c>
    </row>
    <row r="545" spans="1:12" ht="18.75" customHeight="1">
      <c r="A545" s="3" t="str">
        <f>"10522018022609214081604"</f>
        <v>10522018022609214081604</v>
      </c>
      <c r="B545" s="8" t="s">
        <v>18</v>
      </c>
      <c r="C545" s="9" t="str">
        <f t="shared" si="36"/>
        <v>女</v>
      </c>
      <c r="D545" s="9" t="str">
        <f>"341223199504175126"</f>
        <v>341223199504175126</v>
      </c>
      <c r="E545" s="14" t="str">
        <f t="shared" si="37"/>
        <v>护理</v>
      </c>
      <c r="F545" s="9" t="str">
        <f>"2018011616"</f>
        <v>2018011616</v>
      </c>
      <c r="G545" s="9">
        <v>26.5</v>
      </c>
      <c r="H545" s="9">
        <v>82</v>
      </c>
      <c r="I545" s="9">
        <f t="shared" si="35"/>
        <v>65.349999999999994</v>
      </c>
      <c r="J545" s="9"/>
      <c r="K545" s="3">
        <v>16</v>
      </c>
      <c r="L545" s="3">
        <v>16</v>
      </c>
    </row>
    <row r="546" spans="1:12" ht="18.75" customHeight="1">
      <c r="A546" s="3" t="str">
        <f>"10522018022619194582030"</f>
        <v>10522018022619194582030</v>
      </c>
      <c r="B546" s="8" t="s">
        <v>18</v>
      </c>
      <c r="C546" s="9" t="str">
        <f t="shared" si="36"/>
        <v>女</v>
      </c>
      <c r="D546" s="9" t="str">
        <f>"341221199304097327"</f>
        <v>341221199304097327</v>
      </c>
      <c r="E546" s="14" t="str">
        <f>"护理专业"</f>
        <v>护理专业</v>
      </c>
      <c r="F546" s="9" t="str">
        <f>"2018011921"</f>
        <v>2018011921</v>
      </c>
      <c r="G546" s="9">
        <v>26.5</v>
      </c>
      <c r="H546" s="9">
        <v>82</v>
      </c>
      <c r="I546" s="9">
        <f t="shared" si="35"/>
        <v>65.349999999999994</v>
      </c>
      <c r="J546" s="9"/>
      <c r="K546" s="3">
        <v>19</v>
      </c>
      <c r="L546" s="3">
        <v>21</v>
      </c>
    </row>
    <row r="547" spans="1:12" ht="18.75" customHeight="1">
      <c r="A547" s="3" t="str">
        <f>"10522018022614534481897"</f>
        <v>10522018022614534481897</v>
      </c>
      <c r="B547" s="8" t="s">
        <v>18</v>
      </c>
      <c r="C547" s="9" t="str">
        <f t="shared" si="36"/>
        <v>女</v>
      </c>
      <c r="D547" s="9" t="str">
        <f>"341227199509260747"</f>
        <v>341227199509260747</v>
      </c>
      <c r="E547" s="14" t="str">
        <f>"护理"</f>
        <v>护理</v>
      </c>
      <c r="F547" s="9" t="str">
        <f>"2018011414"</f>
        <v>2018011414</v>
      </c>
      <c r="G547" s="9">
        <v>42.5</v>
      </c>
      <c r="H547" s="9">
        <v>75</v>
      </c>
      <c r="I547" s="9">
        <f t="shared" si="35"/>
        <v>65.25</v>
      </c>
      <c r="J547" s="9"/>
      <c r="K547" s="3">
        <v>14</v>
      </c>
      <c r="L547" s="3">
        <v>14</v>
      </c>
    </row>
    <row r="548" spans="1:12" ht="18.75" customHeight="1">
      <c r="A548" s="3" t="str">
        <f>"10522018022617374981990"</f>
        <v>10522018022617374981990</v>
      </c>
      <c r="B548" s="8" t="s">
        <v>18</v>
      </c>
      <c r="C548" s="9" t="str">
        <f t="shared" si="36"/>
        <v>女</v>
      </c>
      <c r="D548" s="9" t="str">
        <f>"341226199406214741"</f>
        <v>341226199406214741</v>
      </c>
      <c r="E548" s="14" t="str">
        <f>"护理"</f>
        <v>护理</v>
      </c>
      <c r="F548" s="9" t="str">
        <f>"2018012210"</f>
        <v>2018012210</v>
      </c>
      <c r="G548" s="9">
        <v>42.5</v>
      </c>
      <c r="H548" s="9">
        <v>75</v>
      </c>
      <c r="I548" s="9">
        <f t="shared" si="35"/>
        <v>65.25</v>
      </c>
      <c r="J548" s="9"/>
      <c r="K548" s="3">
        <v>22</v>
      </c>
      <c r="L548" s="3">
        <v>10</v>
      </c>
    </row>
    <row r="549" spans="1:12" ht="18.75" customHeight="1">
      <c r="A549" s="3" t="str">
        <f>"10522018022620405482067"</f>
        <v>10522018022620405482067</v>
      </c>
      <c r="B549" s="8" t="s">
        <v>18</v>
      </c>
      <c r="C549" s="9" t="str">
        <f t="shared" si="36"/>
        <v>女</v>
      </c>
      <c r="D549" s="9" t="str">
        <f>"341223199501112322"</f>
        <v>341223199501112322</v>
      </c>
      <c r="E549" s="14" t="str">
        <f>"护理"</f>
        <v>护理</v>
      </c>
      <c r="F549" s="9" t="str">
        <f>"2018011222"</f>
        <v>2018011222</v>
      </c>
      <c r="G549" s="9">
        <v>23.5</v>
      </c>
      <c r="H549" s="9">
        <v>83</v>
      </c>
      <c r="I549" s="9">
        <f t="shared" si="35"/>
        <v>65.149999999999991</v>
      </c>
      <c r="J549" s="9"/>
      <c r="K549" s="3">
        <v>12</v>
      </c>
      <c r="L549" s="3">
        <v>22</v>
      </c>
    </row>
    <row r="550" spans="1:12" ht="18.75" customHeight="1">
      <c r="A550" s="3" t="str">
        <f>"10522018030117485782977"</f>
        <v>10522018030117485782977</v>
      </c>
      <c r="B550" s="8" t="s">
        <v>18</v>
      </c>
      <c r="C550" s="9" t="str">
        <f t="shared" si="36"/>
        <v>女</v>
      </c>
      <c r="D550" s="9" t="str">
        <f>"341223199704111725"</f>
        <v>341223199704111725</v>
      </c>
      <c r="E550" s="14" t="str">
        <f>"护理专业"</f>
        <v>护理专业</v>
      </c>
      <c r="F550" s="9" t="str">
        <f>"2018011125"</f>
        <v>2018011125</v>
      </c>
      <c r="G550" s="9">
        <v>42</v>
      </c>
      <c r="H550" s="9">
        <v>75</v>
      </c>
      <c r="I550" s="9">
        <f t="shared" si="35"/>
        <v>65.099999999999994</v>
      </c>
      <c r="J550" s="9"/>
      <c r="K550" s="3">
        <v>11</v>
      </c>
      <c r="L550" s="3">
        <v>25</v>
      </c>
    </row>
    <row r="551" spans="1:12" ht="18.75" customHeight="1">
      <c r="A551" s="3" t="str">
        <f>"10522018022609200481600"</f>
        <v>10522018022609200481600</v>
      </c>
      <c r="B551" s="8" t="s">
        <v>18</v>
      </c>
      <c r="C551" s="9" t="str">
        <f t="shared" si="36"/>
        <v>女</v>
      </c>
      <c r="D551" s="9" t="str">
        <f>"341223199706050225"</f>
        <v>341223199706050225</v>
      </c>
      <c r="E551" s="14" t="str">
        <f t="shared" ref="E551:E559" si="38">"护理"</f>
        <v>护理</v>
      </c>
      <c r="F551" s="9" t="str">
        <f>"2018010607"</f>
        <v>2018010607</v>
      </c>
      <c r="G551" s="9">
        <v>25.5</v>
      </c>
      <c r="H551" s="9">
        <v>82</v>
      </c>
      <c r="I551" s="9">
        <f t="shared" si="35"/>
        <v>65.05</v>
      </c>
      <c r="J551" s="9"/>
      <c r="K551" s="3">
        <v>6</v>
      </c>
      <c r="L551" s="3">
        <v>7</v>
      </c>
    </row>
    <row r="552" spans="1:12" ht="18.75" customHeight="1">
      <c r="A552" s="3" t="str">
        <f>"10522018022813070882580"</f>
        <v>10522018022813070882580</v>
      </c>
      <c r="B552" s="8" t="s">
        <v>18</v>
      </c>
      <c r="C552" s="9" t="str">
        <f t="shared" si="36"/>
        <v>女</v>
      </c>
      <c r="D552" s="9" t="str">
        <f>"341621199704012320"</f>
        <v>341621199704012320</v>
      </c>
      <c r="E552" s="14" t="str">
        <f t="shared" si="38"/>
        <v>护理</v>
      </c>
      <c r="F552" s="9" t="str">
        <f>"2018011022"</f>
        <v>2018011022</v>
      </c>
      <c r="G552" s="9">
        <v>34.5</v>
      </c>
      <c r="H552" s="9">
        <v>78</v>
      </c>
      <c r="I552" s="9">
        <f t="shared" si="35"/>
        <v>64.949999999999989</v>
      </c>
      <c r="J552" s="9"/>
      <c r="K552" s="3">
        <v>10</v>
      </c>
      <c r="L552" s="3">
        <v>22</v>
      </c>
    </row>
    <row r="553" spans="1:12" ht="18.75" customHeight="1">
      <c r="A553" s="3" t="str">
        <f>"10522018022710505582185"</f>
        <v>10522018022710505582185</v>
      </c>
      <c r="B553" s="8" t="s">
        <v>18</v>
      </c>
      <c r="C553" s="9" t="str">
        <f t="shared" si="36"/>
        <v>女</v>
      </c>
      <c r="D553" s="9" t="str">
        <f>"341224199503259885"</f>
        <v>341224199503259885</v>
      </c>
      <c r="E553" s="14" t="str">
        <f t="shared" si="38"/>
        <v>护理</v>
      </c>
      <c r="F553" s="9" t="str">
        <f>"2018011517"</f>
        <v>2018011517</v>
      </c>
      <c r="G553" s="9">
        <v>34.5</v>
      </c>
      <c r="H553" s="9">
        <v>78</v>
      </c>
      <c r="I553" s="9">
        <f t="shared" si="35"/>
        <v>64.949999999999989</v>
      </c>
      <c r="J553" s="9"/>
      <c r="K553" s="3">
        <v>15</v>
      </c>
      <c r="L553" s="3">
        <v>17</v>
      </c>
    </row>
    <row r="554" spans="1:12" ht="18.75" customHeight="1">
      <c r="A554" s="3" t="str">
        <f>"10522018022609140581594"</f>
        <v>10522018022609140581594</v>
      </c>
      <c r="B554" s="8" t="s">
        <v>18</v>
      </c>
      <c r="C554" s="9" t="str">
        <f t="shared" si="36"/>
        <v>女</v>
      </c>
      <c r="D554" s="9" t="str">
        <f>"341202199803032721"</f>
        <v>341202199803032721</v>
      </c>
      <c r="E554" s="14" t="str">
        <f t="shared" si="38"/>
        <v>护理</v>
      </c>
      <c r="F554" s="9" t="str">
        <f>"2018011407"</f>
        <v>2018011407</v>
      </c>
      <c r="G554" s="9">
        <v>29.5</v>
      </c>
      <c r="H554" s="9">
        <v>80</v>
      </c>
      <c r="I554" s="9">
        <f t="shared" si="35"/>
        <v>64.849999999999994</v>
      </c>
      <c r="J554" s="9"/>
      <c r="K554" s="3">
        <v>14</v>
      </c>
      <c r="L554" s="3">
        <v>7</v>
      </c>
    </row>
    <row r="555" spans="1:12" ht="18.75" customHeight="1">
      <c r="A555" s="3" t="str">
        <f>"10522018022620432382069"</f>
        <v>10522018022620432382069</v>
      </c>
      <c r="B555" s="8" t="s">
        <v>18</v>
      </c>
      <c r="C555" s="9" t="str">
        <f t="shared" si="36"/>
        <v>女</v>
      </c>
      <c r="D555" s="9" t="str">
        <f>"341223199710280525"</f>
        <v>341223199710280525</v>
      </c>
      <c r="E555" s="14" t="str">
        <f t="shared" si="38"/>
        <v>护理</v>
      </c>
      <c r="F555" s="9" t="str">
        <f>"2018010911"</f>
        <v>2018010911</v>
      </c>
      <c r="G555" s="9">
        <v>43</v>
      </c>
      <c r="H555" s="9">
        <v>74</v>
      </c>
      <c r="I555" s="9">
        <f t="shared" si="35"/>
        <v>64.7</v>
      </c>
      <c r="J555" s="9"/>
      <c r="K555" s="3">
        <v>9</v>
      </c>
      <c r="L555" s="3">
        <v>11</v>
      </c>
    </row>
    <row r="556" spans="1:12" ht="18.75" customHeight="1">
      <c r="A556" s="3" t="str">
        <f>"10522018022609030581563"</f>
        <v>10522018022609030581563</v>
      </c>
      <c r="B556" s="8" t="s">
        <v>18</v>
      </c>
      <c r="C556" s="9" t="str">
        <f t="shared" si="36"/>
        <v>女</v>
      </c>
      <c r="D556" s="9" t="str">
        <f>"340602199602222044"</f>
        <v>340602199602222044</v>
      </c>
      <c r="E556" s="14" t="str">
        <f t="shared" si="38"/>
        <v>护理</v>
      </c>
      <c r="F556" s="9" t="str">
        <f>"2018010824"</f>
        <v>2018010824</v>
      </c>
      <c r="G556" s="9">
        <v>38</v>
      </c>
      <c r="H556" s="9">
        <v>76</v>
      </c>
      <c r="I556" s="9">
        <f t="shared" si="35"/>
        <v>64.599999999999994</v>
      </c>
      <c r="J556" s="9"/>
      <c r="K556" s="3">
        <v>8</v>
      </c>
      <c r="L556" s="3">
        <v>24</v>
      </c>
    </row>
    <row r="557" spans="1:12" ht="18.75" customHeight="1">
      <c r="A557" s="3" t="str">
        <f>"10522018022709002482137"</f>
        <v>10522018022709002482137</v>
      </c>
      <c r="B557" s="8" t="s">
        <v>18</v>
      </c>
      <c r="C557" s="9" t="str">
        <f t="shared" si="36"/>
        <v>女</v>
      </c>
      <c r="D557" s="9" t="str">
        <f>"341227199509205641"</f>
        <v>341227199509205641</v>
      </c>
      <c r="E557" s="14" t="str">
        <f t="shared" si="38"/>
        <v>护理</v>
      </c>
      <c r="F557" s="9" t="str">
        <f>"2018011613"</f>
        <v>2018011613</v>
      </c>
      <c r="G557" s="9">
        <v>37.5</v>
      </c>
      <c r="H557" s="9">
        <v>76</v>
      </c>
      <c r="I557" s="9">
        <f t="shared" si="35"/>
        <v>64.449999999999989</v>
      </c>
      <c r="J557" s="9"/>
      <c r="K557" s="3">
        <v>16</v>
      </c>
      <c r="L557" s="3">
        <v>13</v>
      </c>
    </row>
    <row r="558" spans="1:12" ht="18.75" customHeight="1">
      <c r="A558" s="3" t="str">
        <f>"10522018022615463581928"</f>
        <v>10522018022615463581928</v>
      </c>
      <c r="B558" s="8" t="s">
        <v>18</v>
      </c>
      <c r="C558" s="9" t="str">
        <f t="shared" si="36"/>
        <v>女</v>
      </c>
      <c r="D558" s="9" t="str">
        <f>"341621199707012561"</f>
        <v>341621199707012561</v>
      </c>
      <c r="E558" s="14" t="str">
        <f t="shared" si="38"/>
        <v>护理</v>
      </c>
      <c r="F558" s="9" t="str">
        <f>"2018011521"</f>
        <v>2018011521</v>
      </c>
      <c r="G558" s="9">
        <v>43</v>
      </c>
      <c r="H558" s="9">
        <v>73</v>
      </c>
      <c r="I558" s="9">
        <f t="shared" si="35"/>
        <v>63.999999999999993</v>
      </c>
      <c r="J558" s="9"/>
      <c r="K558" s="3">
        <v>15</v>
      </c>
      <c r="L558" s="3">
        <v>21</v>
      </c>
    </row>
    <row r="559" spans="1:12" ht="18.75" customHeight="1">
      <c r="A559" s="3" t="str">
        <f>"10522018022610142881661"</f>
        <v>10522018022610142881661</v>
      </c>
      <c r="B559" s="8" t="s">
        <v>18</v>
      </c>
      <c r="C559" s="9" t="str">
        <f t="shared" si="36"/>
        <v>女</v>
      </c>
      <c r="D559" s="9" t="str">
        <f>"341281199609187768"</f>
        <v>341281199609187768</v>
      </c>
      <c r="E559" s="14" t="str">
        <f t="shared" si="38"/>
        <v>护理</v>
      </c>
      <c r="F559" s="9" t="str">
        <f>"2018011115"</f>
        <v>2018011115</v>
      </c>
      <c r="G559" s="9">
        <v>33.5</v>
      </c>
      <c r="H559" s="9">
        <v>77</v>
      </c>
      <c r="I559" s="9">
        <f t="shared" si="35"/>
        <v>63.949999999999996</v>
      </c>
      <c r="J559" s="9"/>
      <c r="K559" s="3">
        <v>11</v>
      </c>
      <c r="L559" s="3">
        <v>15</v>
      </c>
    </row>
    <row r="560" spans="1:12" ht="18.75" customHeight="1">
      <c r="A560" s="3" t="str">
        <f>"10522018022813325482594"</f>
        <v>10522018022813325482594</v>
      </c>
      <c r="B560" s="8" t="s">
        <v>18</v>
      </c>
      <c r="C560" s="9" t="str">
        <f t="shared" si="36"/>
        <v>女</v>
      </c>
      <c r="D560" s="9" t="str">
        <f>"341623199503046025"</f>
        <v>341623199503046025</v>
      </c>
      <c r="E560" s="14" t="str">
        <f>"护理专业"</f>
        <v>护理专业</v>
      </c>
      <c r="F560" s="9" t="str">
        <f>"2018011404"</f>
        <v>2018011404</v>
      </c>
      <c r="G560" s="9">
        <v>24</v>
      </c>
      <c r="H560" s="9">
        <v>81</v>
      </c>
      <c r="I560" s="9">
        <f t="shared" si="35"/>
        <v>63.899999999999991</v>
      </c>
      <c r="J560" s="9"/>
      <c r="K560" s="3">
        <v>14</v>
      </c>
      <c r="L560" s="3">
        <v>4</v>
      </c>
    </row>
    <row r="561" spans="1:12" ht="18.75" customHeight="1">
      <c r="A561" s="3" t="str">
        <f>"10522018022609583381640"</f>
        <v>10522018022609583381640</v>
      </c>
      <c r="B561" s="8" t="s">
        <v>18</v>
      </c>
      <c r="C561" s="9" t="str">
        <f t="shared" si="36"/>
        <v>女</v>
      </c>
      <c r="D561" s="9" t="str">
        <f>"341223199603205327"</f>
        <v>341223199603205327</v>
      </c>
      <c r="E561" s="14" t="str">
        <f t="shared" ref="E561:E573" si="39">"护理"</f>
        <v>护理</v>
      </c>
      <c r="F561" s="9" t="str">
        <f>"2018011908"</f>
        <v>2018011908</v>
      </c>
      <c r="G561" s="9">
        <v>49.5</v>
      </c>
      <c r="H561" s="9">
        <v>70</v>
      </c>
      <c r="I561" s="9">
        <f t="shared" si="35"/>
        <v>63.85</v>
      </c>
      <c r="J561" s="9"/>
      <c r="K561" s="3">
        <v>19</v>
      </c>
      <c r="L561" s="3">
        <v>8</v>
      </c>
    </row>
    <row r="562" spans="1:12" ht="18.75" customHeight="1">
      <c r="A562" s="3" t="str">
        <f>"10522018022612143081780"</f>
        <v>10522018022612143081780</v>
      </c>
      <c r="B562" s="8" t="s">
        <v>18</v>
      </c>
      <c r="C562" s="9" t="str">
        <f t="shared" si="36"/>
        <v>女</v>
      </c>
      <c r="D562" s="9" t="str">
        <f>"342201199312019041"</f>
        <v>342201199312019041</v>
      </c>
      <c r="E562" s="14" t="str">
        <f t="shared" si="39"/>
        <v>护理</v>
      </c>
      <c r="F562" s="9" t="str">
        <f>"2018011618"</f>
        <v>2018011618</v>
      </c>
      <c r="G562" s="9">
        <v>39.5</v>
      </c>
      <c r="H562" s="9">
        <v>74</v>
      </c>
      <c r="I562" s="9">
        <f t="shared" si="35"/>
        <v>63.65</v>
      </c>
      <c r="J562" s="9"/>
      <c r="K562" s="3">
        <v>16</v>
      </c>
      <c r="L562" s="3">
        <v>18</v>
      </c>
    </row>
    <row r="563" spans="1:12" ht="18.75" customHeight="1">
      <c r="A563" s="3" t="str">
        <f>"10522018022709091482139"</f>
        <v>10522018022709091482139</v>
      </c>
      <c r="B563" s="8" t="s">
        <v>18</v>
      </c>
      <c r="C563" s="9" t="str">
        <f t="shared" si="36"/>
        <v>女</v>
      </c>
      <c r="D563" s="9" t="str">
        <f>"341221199902077561"</f>
        <v>341221199902077561</v>
      </c>
      <c r="E563" s="14" t="str">
        <f t="shared" si="39"/>
        <v>护理</v>
      </c>
      <c r="F563" s="9" t="str">
        <f>"2018011424"</f>
        <v>2018011424</v>
      </c>
      <c r="G563" s="9">
        <v>37</v>
      </c>
      <c r="H563" s="9">
        <v>75</v>
      </c>
      <c r="I563" s="9">
        <f t="shared" si="35"/>
        <v>63.6</v>
      </c>
      <c r="J563" s="9"/>
      <c r="K563" s="3">
        <v>14</v>
      </c>
      <c r="L563" s="3">
        <v>24</v>
      </c>
    </row>
    <row r="564" spans="1:12" ht="18.75" customHeight="1">
      <c r="A564" s="3" t="str">
        <f>"10522018022713381782238"</f>
        <v>10522018022713381782238</v>
      </c>
      <c r="B564" s="8" t="s">
        <v>18</v>
      </c>
      <c r="C564" s="9" t="str">
        <f t="shared" si="36"/>
        <v>女</v>
      </c>
      <c r="D564" s="9" t="str">
        <f>"341621199508145329"</f>
        <v>341621199508145329</v>
      </c>
      <c r="E564" s="14" t="str">
        <f t="shared" si="39"/>
        <v>护理</v>
      </c>
      <c r="F564" s="9" t="str">
        <f>"2018011117"</f>
        <v>2018011117</v>
      </c>
      <c r="G564" s="9">
        <v>44</v>
      </c>
      <c r="H564" s="9">
        <v>72</v>
      </c>
      <c r="I564" s="9">
        <f t="shared" si="35"/>
        <v>63.599999999999994</v>
      </c>
      <c r="J564" s="9"/>
      <c r="K564" s="3">
        <v>11</v>
      </c>
      <c r="L564" s="3">
        <v>17</v>
      </c>
    </row>
    <row r="565" spans="1:12" ht="18.75" customHeight="1">
      <c r="A565" s="3" t="str">
        <f>"10522018022620163082050"</f>
        <v>10522018022620163082050</v>
      </c>
      <c r="B565" s="8" t="s">
        <v>18</v>
      </c>
      <c r="C565" s="9" t="str">
        <f t="shared" si="36"/>
        <v>女</v>
      </c>
      <c r="D565" s="9" t="str">
        <f>"341223199401042347"</f>
        <v>341223199401042347</v>
      </c>
      <c r="E565" s="14" t="str">
        <f t="shared" si="39"/>
        <v>护理</v>
      </c>
      <c r="F565" s="9" t="str">
        <f>"2018010919"</f>
        <v>2018010919</v>
      </c>
      <c r="G565" s="9">
        <v>34.5</v>
      </c>
      <c r="H565" s="9">
        <v>76</v>
      </c>
      <c r="I565" s="9">
        <f t="shared" si="35"/>
        <v>63.55</v>
      </c>
      <c r="J565" s="9"/>
      <c r="K565" s="3">
        <v>9</v>
      </c>
      <c r="L565" s="3">
        <v>19</v>
      </c>
    </row>
    <row r="566" spans="1:12" ht="18.75" customHeight="1">
      <c r="A566" s="3" t="str">
        <f>"10522018022612062581778"</f>
        <v>10522018022612062581778</v>
      </c>
      <c r="B566" s="8" t="s">
        <v>18</v>
      </c>
      <c r="C566" s="9" t="str">
        <f t="shared" si="36"/>
        <v>女</v>
      </c>
      <c r="D566" s="9" t="str">
        <f>"341282199407131420"</f>
        <v>341282199407131420</v>
      </c>
      <c r="E566" s="14" t="str">
        <f t="shared" si="39"/>
        <v>护理</v>
      </c>
      <c r="F566" s="9" t="str">
        <f>"2018011305"</f>
        <v>2018011305</v>
      </c>
      <c r="G566" s="9">
        <v>32</v>
      </c>
      <c r="H566" s="9">
        <v>77</v>
      </c>
      <c r="I566" s="9">
        <f t="shared" si="35"/>
        <v>63.5</v>
      </c>
      <c r="J566" s="9"/>
      <c r="K566" s="3">
        <v>13</v>
      </c>
      <c r="L566" s="3">
        <v>5</v>
      </c>
    </row>
    <row r="567" spans="1:12" ht="18.75" customHeight="1">
      <c r="A567" s="3" t="str">
        <f>"10522018022611383881766"</f>
        <v>10522018022611383881766</v>
      </c>
      <c r="B567" s="8" t="s">
        <v>18</v>
      </c>
      <c r="C567" s="9" t="str">
        <f t="shared" si="36"/>
        <v>女</v>
      </c>
      <c r="D567" s="9" t="str">
        <f>"340621199402029345"</f>
        <v>340621199402029345</v>
      </c>
      <c r="E567" s="14" t="str">
        <f t="shared" si="39"/>
        <v>护理</v>
      </c>
      <c r="F567" s="9" t="str">
        <f>"2018010618"</f>
        <v>2018010618</v>
      </c>
      <c r="G567" s="9">
        <v>33.5</v>
      </c>
      <c r="H567" s="9">
        <v>76</v>
      </c>
      <c r="I567" s="9">
        <f t="shared" si="35"/>
        <v>63.249999999999993</v>
      </c>
      <c r="J567" s="9"/>
      <c r="K567" s="3">
        <v>6</v>
      </c>
      <c r="L567" s="3">
        <v>18</v>
      </c>
    </row>
    <row r="568" spans="1:12" ht="18.75" customHeight="1">
      <c r="A568" s="3" t="str">
        <f>"10522018022710203682171"</f>
        <v>10522018022710203682171</v>
      </c>
      <c r="B568" s="8" t="s">
        <v>18</v>
      </c>
      <c r="C568" s="9" t="str">
        <f t="shared" si="36"/>
        <v>女</v>
      </c>
      <c r="D568" s="9" t="str">
        <f>"341223199701031922"</f>
        <v>341223199701031922</v>
      </c>
      <c r="E568" s="14" t="str">
        <f t="shared" si="39"/>
        <v>护理</v>
      </c>
      <c r="F568" s="9" t="str">
        <f>"2018011005"</f>
        <v>2018011005</v>
      </c>
      <c r="G568" s="9">
        <v>12.5</v>
      </c>
      <c r="H568" s="9">
        <v>85</v>
      </c>
      <c r="I568" s="9">
        <f t="shared" si="35"/>
        <v>63.249999999999993</v>
      </c>
      <c r="J568" s="9"/>
      <c r="K568" s="3">
        <v>10</v>
      </c>
      <c r="L568" s="3">
        <v>5</v>
      </c>
    </row>
    <row r="569" spans="1:12" ht="18.75" customHeight="1">
      <c r="A569" s="3" t="str">
        <f>"10522018022612152981782"</f>
        <v>10522018022612152981782</v>
      </c>
      <c r="B569" s="8" t="s">
        <v>18</v>
      </c>
      <c r="C569" s="9" t="str">
        <f t="shared" si="36"/>
        <v>女</v>
      </c>
      <c r="D569" s="9" t="str">
        <f>"341224199502090520"</f>
        <v>341224199502090520</v>
      </c>
      <c r="E569" s="14" t="str">
        <f t="shared" si="39"/>
        <v>护理</v>
      </c>
      <c r="F569" s="9" t="str">
        <f>"2018011028"</f>
        <v>2018011028</v>
      </c>
      <c r="G569" s="9">
        <v>33.5</v>
      </c>
      <c r="H569" s="9">
        <v>76</v>
      </c>
      <c r="I569" s="9">
        <f t="shared" si="35"/>
        <v>63.249999999999993</v>
      </c>
      <c r="J569" s="9"/>
      <c r="K569" s="3">
        <v>10</v>
      </c>
      <c r="L569" s="3">
        <v>28</v>
      </c>
    </row>
    <row r="570" spans="1:12" ht="18.75" customHeight="1">
      <c r="A570" s="3" t="str">
        <f>"10522018030114423682918"</f>
        <v>10522018030114423682918</v>
      </c>
      <c r="B570" s="8" t="s">
        <v>18</v>
      </c>
      <c r="C570" s="9" t="str">
        <f t="shared" si="36"/>
        <v>女</v>
      </c>
      <c r="D570" s="9" t="str">
        <f>"341227199504041545"</f>
        <v>341227199504041545</v>
      </c>
      <c r="E570" s="14" t="str">
        <f t="shared" si="39"/>
        <v>护理</v>
      </c>
      <c r="F570" s="9" t="str">
        <f>"2018011116"</f>
        <v>2018011116</v>
      </c>
      <c r="G570" s="9">
        <v>51.5</v>
      </c>
      <c r="H570" s="9">
        <v>68</v>
      </c>
      <c r="I570" s="9">
        <f t="shared" si="35"/>
        <v>63.05</v>
      </c>
      <c r="J570" s="9"/>
      <c r="K570" s="3">
        <v>11</v>
      </c>
      <c r="L570" s="3">
        <v>16</v>
      </c>
    </row>
    <row r="571" spans="1:12" ht="18.75" customHeight="1">
      <c r="A571" s="3" t="str">
        <f>"10522018022618114782005"</f>
        <v>10522018022618114782005</v>
      </c>
      <c r="B571" s="8" t="s">
        <v>18</v>
      </c>
      <c r="C571" s="9" t="str">
        <f t="shared" si="36"/>
        <v>女</v>
      </c>
      <c r="D571" s="9" t="str">
        <f>"341281199611129241"</f>
        <v>341281199611129241</v>
      </c>
      <c r="E571" s="14" t="str">
        <f t="shared" si="39"/>
        <v>护理</v>
      </c>
      <c r="F571" s="9" t="str">
        <f>"2018011408"</f>
        <v>2018011408</v>
      </c>
      <c r="G571" s="9">
        <v>39.5</v>
      </c>
      <c r="H571" s="9">
        <v>73</v>
      </c>
      <c r="I571" s="9">
        <f t="shared" si="35"/>
        <v>62.949999999999996</v>
      </c>
      <c r="J571" s="9"/>
      <c r="K571" s="3">
        <v>14</v>
      </c>
      <c r="L571" s="3">
        <v>8</v>
      </c>
    </row>
    <row r="572" spans="1:12" ht="18.75" customHeight="1">
      <c r="A572" s="3" t="str">
        <f>"10522018022818000382673"</f>
        <v>10522018022818000382673</v>
      </c>
      <c r="B572" s="8" t="s">
        <v>18</v>
      </c>
      <c r="C572" s="9" t="str">
        <f t="shared" si="36"/>
        <v>女</v>
      </c>
      <c r="D572" s="9" t="str">
        <f>"341621199612045520"</f>
        <v>341621199612045520</v>
      </c>
      <c r="E572" s="14" t="str">
        <f t="shared" si="39"/>
        <v>护理</v>
      </c>
      <c r="F572" s="9" t="str">
        <f>"2018010819"</f>
        <v>2018010819</v>
      </c>
      <c r="G572" s="9">
        <v>34.5</v>
      </c>
      <c r="H572" s="9">
        <v>75</v>
      </c>
      <c r="I572" s="9">
        <f t="shared" si="35"/>
        <v>62.85</v>
      </c>
      <c r="J572" s="9"/>
      <c r="K572" s="3">
        <v>8</v>
      </c>
      <c r="L572" s="3">
        <v>19</v>
      </c>
    </row>
    <row r="573" spans="1:12" ht="18.75" customHeight="1">
      <c r="A573" s="3" t="str">
        <f>"10522018022711573682204"</f>
        <v>10522018022711573682204</v>
      </c>
      <c r="B573" s="8" t="s">
        <v>18</v>
      </c>
      <c r="C573" s="9" t="str">
        <f t="shared" si="36"/>
        <v>女</v>
      </c>
      <c r="D573" s="9" t="str">
        <f>"341223199510251121"</f>
        <v>341223199510251121</v>
      </c>
      <c r="E573" s="14" t="str">
        <f t="shared" si="39"/>
        <v>护理</v>
      </c>
      <c r="F573" s="9" t="str">
        <f>"2018011317"</f>
        <v>2018011317</v>
      </c>
      <c r="G573" s="9">
        <v>32</v>
      </c>
      <c r="H573" s="9">
        <v>76</v>
      </c>
      <c r="I573" s="9">
        <f t="shared" si="35"/>
        <v>62.8</v>
      </c>
      <c r="J573" s="9"/>
      <c r="K573" s="3">
        <v>13</v>
      </c>
      <c r="L573" s="3">
        <v>17</v>
      </c>
    </row>
    <row r="574" spans="1:12" ht="18.75" customHeight="1">
      <c r="A574" s="3" t="str">
        <f>"10522018022810465382524"</f>
        <v>10522018022810465382524</v>
      </c>
      <c r="B574" s="8" t="s">
        <v>18</v>
      </c>
      <c r="C574" s="9" t="str">
        <f t="shared" si="36"/>
        <v>女</v>
      </c>
      <c r="D574" s="9" t="str">
        <f>"341223199507165169"</f>
        <v>341223199507165169</v>
      </c>
      <c r="E574" s="14" t="str">
        <f>"护理专业"</f>
        <v>护理专业</v>
      </c>
      <c r="F574" s="9" t="str">
        <f>"2018011606"</f>
        <v>2018011606</v>
      </c>
      <c r="G574" s="9">
        <v>15.5</v>
      </c>
      <c r="H574" s="9">
        <v>83</v>
      </c>
      <c r="I574" s="9">
        <f t="shared" si="35"/>
        <v>62.749999999999993</v>
      </c>
      <c r="J574" s="9"/>
      <c r="K574" s="3">
        <v>16</v>
      </c>
      <c r="L574" s="3">
        <v>6</v>
      </c>
    </row>
    <row r="575" spans="1:12" ht="18.75" customHeight="1">
      <c r="A575" s="3" t="str">
        <f>"10522018022821414582752"</f>
        <v>10522018022821414582752</v>
      </c>
      <c r="B575" s="8" t="s">
        <v>18</v>
      </c>
      <c r="C575" s="9" t="str">
        <f t="shared" si="36"/>
        <v>女</v>
      </c>
      <c r="D575" s="9" t="str">
        <f>"34128219971129032X"</f>
        <v>34128219971129032X</v>
      </c>
      <c r="E575" s="14" t="str">
        <f>"护理"</f>
        <v>护理</v>
      </c>
      <c r="F575" s="9" t="str">
        <f>"2018011412"</f>
        <v>2018011412</v>
      </c>
      <c r="G575" s="9">
        <v>34</v>
      </c>
      <c r="H575" s="9">
        <v>75</v>
      </c>
      <c r="I575" s="9">
        <f t="shared" si="35"/>
        <v>62.7</v>
      </c>
      <c r="J575" s="9"/>
      <c r="K575" s="3">
        <v>14</v>
      </c>
      <c r="L575" s="3">
        <v>12</v>
      </c>
    </row>
    <row r="576" spans="1:12" ht="18.75" customHeight="1">
      <c r="A576" s="3" t="str">
        <f>"10522018022616335281958"</f>
        <v>10522018022616335281958</v>
      </c>
      <c r="B576" s="8" t="s">
        <v>18</v>
      </c>
      <c r="C576" s="9" t="str">
        <f t="shared" si="36"/>
        <v>女</v>
      </c>
      <c r="D576" s="9" t="str">
        <f>"341227199512137627"</f>
        <v>341227199512137627</v>
      </c>
      <c r="E576" s="14" t="str">
        <f>"护理"</f>
        <v>护理</v>
      </c>
      <c r="F576" s="9" t="str">
        <f>"2018011728"</f>
        <v>2018011728</v>
      </c>
      <c r="G576" s="9">
        <v>34</v>
      </c>
      <c r="H576" s="9">
        <v>75</v>
      </c>
      <c r="I576" s="9">
        <f t="shared" si="35"/>
        <v>62.7</v>
      </c>
      <c r="J576" s="9"/>
      <c r="K576" s="3">
        <v>17</v>
      </c>
      <c r="L576" s="3">
        <v>28</v>
      </c>
    </row>
    <row r="577" spans="1:12" ht="18.75" customHeight="1">
      <c r="A577" s="3" t="str">
        <f>"10522018022610121581659"</f>
        <v>10522018022610121581659</v>
      </c>
      <c r="B577" s="8" t="s">
        <v>18</v>
      </c>
      <c r="C577" s="9" t="str">
        <f t="shared" si="36"/>
        <v>女</v>
      </c>
      <c r="D577" s="9" t="str">
        <f>"341223199712070927"</f>
        <v>341223199712070927</v>
      </c>
      <c r="E577" s="14" t="str">
        <f>"护理"</f>
        <v>护理</v>
      </c>
      <c r="F577" s="9" t="str">
        <f>"2018010721"</f>
        <v>2018010721</v>
      </c>
      <c r="G577" s="9">
        <v>26</v>
      </c>
      <c r="H577" s="9">
        <v>78</v>
      </c>
      <c r="I577" s="9">
        <f t="shared" si="35"/>
        <v>62.399999999999991</v>
      </c>
      <c r="J577" s="9"/>
      <c r="K577" s="3">
        <v>7</v>
      </c>
      <c r="L577" s="3">
        <v>21</v>
      </c>
    </row>
    <row r="578" spans="1:12" ht="18.75" customHeight="1">
      <c r="A578" s="3" t="str">
        <f>"10522018022615580881938"</f>
        <v>10522018022615580881938</v>
      </c>
      <c r="B578" s="8" t="s">
        <v>18</v>
      </c>
      <c r="C578" s="9" t="str">
        <f t="shared" si="36"/>
        <v>女</v>
      </c>
      <c r="D578" s="9" t="str">
        <f>"341223199703051724"</f>
        <v>341223199703051724</v>
      </c>
      <c r="E578" s="14" t="str">
        <f>"护理"</f>
        <v>护理</v>
      </c>
      <c r="F578" s="9" t="str">
        <f>"2018011421"</f>
        <v>2018011421</v>
      </c>
      <c r="G578" s="9">
        <v>26</v>
      </c>
      <c r="H578" s="9">
        <v>78</v>
      </c>
      <c r="I578" s="9">
        <f t="shared" si="35"/>
        <v>62.399999999999991</v>
      </c>
      <c r="J578" s="9"/>
      <c r="K578" s="3">
        <v>14</v>
      </c>
      <c r="L578" s="3">
        <v>21</v>
      </c>
    </row>
    <row r="579" spans="1:12" ht="18.75" customHeight="1">
      <c r="A579" s="3" t="str">
        <f>"10522018022615163881912"</f>
        <v>10522018022615163881912</v>
      </c>
      <c r="B579" s="8" t="s">
        <v>18</v>
      </c>
      <c r="C579" s="9" t="str">
        <f t="shared" si="36"/>
        <v>女</v>
      </c>
      <c r="D579" s="9" t="str">
        <f>"34162319950416906X"</f>
        <v>34162319950416906X</v>
      </c>
      <c r="E579" s="14" t="str">
        <f>"护理专业"</f>
        <v>护理专业</v>
      </c>
      <c r="F579" s="9" t="str">
        <f>"2018010528"</f>
        <v>2018010528</v>
      </c>
      <c r="G579" s="9">
        <v>37.5</v>
      </c>
      <c r="H579" s="9">
        <v>73</v>
      </c>
      <c r="I579" s="9">
        <f t="shared" ref="I579:I642" si="40">G579*0.3+H579*0.7</f>
        <v>62.349999999999994</v>
      </c>
      <c r="J579" s="9"/>
      <c r="K579" s="3">
        <v>5</v>
      </c>
      <c r="L579" s="3">
        <v>28</v>
      </c>
    </row>
    <row r="580" spans="1:12" ht="18.75" customHeight="1">
      <c r="A580" s="3" t="str">
        <f>"10522018030209490283095"</f>
        <v>10522018030209490283095</v>
      </c>
      <c r="B580" s="8" t="s">
        <v>18</v>
      </c>
      <c r="C580" s="9" t="str">
        <f t="shared" si="36"/>
        <v>女</v>
      </c>
      <c r="D580" s="9" t="str">
        <f>"341227199403237629"</f>
        <v>341227199403237629</v>
      </c>
      <c r="E580" s="14" t="str">
        <f>"护理"</f>
        <v>护理</v>
      </c>
      <c r="F580" s="9" t="str">
        <f>"2018010929"</f>
        <v>2018010929</v>
      </c>
      <c r="G580" s="9">
        <v>42</v>
      </c>
      <c r="H580" s="9">
        <v>71</v>
      </c>
      <c r="I580" s="9">
        <f t="shared" si="40"/>
        <v>62.3</v>
      </c>
      <c r="J580" s="9"/>
      <c r="K580" s="3">
        <v>9</v>
      </c>
      <c r="L580" s="3">
        <v>29</v>
      </c>
    </row>
    <row r="581" spans="1:12" ht="18.75" customHeight="1">
      <c r="A581" s="3" t="str">
        <f>"10522018022721320582423"</f>
        <v>10522018022721320582423</v>
      </c>
      <c r="B581" s="8" t="s">
        <v>18</v>
      </c>
      <c r="C581" s="9" t="str">
        <f t="shared" si="36"/>
        <v>女</v>
      </c>
      <c r="D581" s="9" t="str">
        <f>"341223199601280323"</f>
        <v>341223199601280323</v>
      </c>
      <c r="E581" s="14" t="str">
        <f>"护理"</f>
        <v>护理</v>
      </c>
      <c r="F581" s="9" t="str">
        <f>"2018011710"</f>
        <v>2018011710</v>
      </c>
      <c r="G581" s="9">
        <v>42</v>
      </c>
      <c r="H581" s="9">
        <v>71</v>
      </c>
      <c r="I581" s="9">
        <f t="shared" si="40"/>
        <v>62.3</v>
      </c>
      <c r="J581" s="9"/>
      <c r="K581" s="3">
        <v>17</v>
      </c>
      <c r="L581" s="3">
        <v>10</v>
      </c>
    </row>
    <row r="582" spans="1:12" ht="18.75" customHeight="1">
      <c r="A582" s="3" t="str">
        <f>"10522018022612453781809"</f>
        <v>10522018022612453781809</v>
      </c>
      <c r="B582" s="8" t="s">
        <v>18</v>
      </c>
      <c r="C582" s="9" t="str">
        <f t="shared" si="36"/>
        <v>女</v>
      </c>
      <c r="D582" s="9" t="str">
        <f>"341221199603236980"</f>
        <v>341221199603236980</v>
      </c>
      <c r="E582" s="14" t="str">
        <f>"护理专业"</f>
        <v>护理专业</v>
      </c>
      <c r="F582" s="9" t="str">
        <f>"2018011426"</f>
        <v>2018011426</v>
      </c>
      <c r="G582" s="9">
        <v>37</v>
      </c>
      <c r="H582" s="9">
        <v>73</v>
      </c>
      <c r="I582" s="9">
        <f t="shared" si="40"/>
        <v>62.199999999999996</v>
      </c>
      <c r="J582" s="9"/>
      <c r="K582" s="3">
        <v>14</v>
      </c>
      <c r="L582" s="3">
        <v>26</v>
      </c>
    </row>
    <row r="583" spans="1:12" ht="18.75" customHeight="1">
      <c r="A583" s="3" t="str">
        <f>"10522018022819240282709"</f>
        <v>10522018022819240282709</v>
      </c>
      <c r="B583" s="8" t="s">
        <v>18</v>
      </c>
      <c r="C583" s="9" t="str">
        <f t="shared" si="36"/>
        <v>女</v>
      </c>
      <c r="D583" s="9" t="str">
        <f>"341281199604302069"</f>
        <v>341281199604302069</v>
      </c>
      <c r="E583" s="14" t="str">
        <f t="shared" ref="E583:E614" si="41">"护理"</f>
        <v>护理</v>
      </c>
      <c r="F583" s="9" t="str">
        <f>"2018011822"</f>
        <v>2018011822</v>
      </c>
      <c r="G583" s="9">
        <v>39</v>
      </c>
      <c r="H583" s="9">
        <v>72</v>
      </c>
      <c r="I583" s="9">
        <f t="shared" si="40"/>
        <v>62.099999999999994</v>
      </c>
      <c r="J583" s="9"/>
      <c r="K583" s="3">
        <v>18</v>
      </c>
      <c r="L583" s="3">
        <v>22</v>
      </c>
    </row>
    <row r="584" spans="1:12" ht="18.75" customHeight="1">
      <c r="A584" s="3" t="str">
        <f>"10522018022819303682713"</f>
        <v>10522018022819303682713</v>
      </c>
      <c r="B584" s="8" t="s">
        <v>18</v>
      </c>
      <c r="C584" s="9" t="str">
        <f t="shared" si="36"/>
        <v>女</v>
      </c>
      <c r="D584" s="9" t="str">
        <f>"34122219980826106X"</f>
        <v>34122219980826106X</v>
      </c>
      <c r="E584" s="14" t="str">
        <f t="shared" si="41"/>
        <v>护理</v>
      </c>
      <c r="F584" s="9" t="str">
        <f>"2018010903"</f>
        <v>2018010903</v>
      </c>
      <c r="G584" s="9">
        <v>29.5</v>
      </c>
      <c r="H584" s="9">
        <v>76</v>
      </c>
      <c r="I584" s="9">
        <f t="shared" si="40"/>
        <v>62.05</v>
      </c>
      <c r="J584" s="9"/>
      <c r="K584" s="3">
        <v>9</v>
      </c>
      <c r="L584" s="3">
        <v>3</v>
      </c>
    </row>
    <row r="585" spans="1:12" ht="18.75" customHeight="1">
      <c r="A585" s="3" t="str">
        <f>"10522018030116192482953"</f>
        <v>10522018030116192482953</v>
      </c>
      <c r="B585" s="8" t="s">
        <v>18</v>
      </c>
      <c r="C585" s="9" t="str">
        <f t="shared" si="36"/>
        <v>女</v>
      </c>
      <c r="D585" s="9" t="str">
        <f>"341227199505299521"</f>
        <v>341227199505299521</v>
      </c>
      <c r="E585" s="14" t="str">
        <f t="shared" si="41"/>
        <v>护理</v>
      </c>
      <c r="F585" s="9" t="str">
        <f>"2018011719"</f>
        <v>2018011719</v>
      </c>
      <c r="G585" s="9">
        <v>34</v>
      </c>
      <c r="H585" s="9">
        <v>74</v>
      </c>
      <c r="I585" s="9">
        <f t="shared" si="40"/>
        <v>62</v>
      </c>
      <c r="J585" s="9"/>
      <c r="K585" s="3">
        <v>17</v>
      </c>
      <c r="L585" s="3">
        <v>19</v>
      </c>
    </row>
    <row r="586" spans="1:12" ht="18.75" customHeight="1">
      <c r="A586" s="3" t="str">
        <f>"10522018022609063581573"</f>
        <v>10522018022609063581573</v>
      </c>
      <c r="B586" s="8" t="s">
        <v>18</v>
      </c>
      <c r="C586" s="9" t="str">
        <f>"男"</f>
        <v>男</v>
      </c>
      <c r="D586" s="9" t="str">
        <f>"341227199512207058"</f>
        <v>341227199512207058</v>
      </c>
      <c r="E586" s="14" t="str">
        <f t="shared" si="41"/>
        <v>护理</v>
      </c>
      <c r="F586" s="9" t="str">
        <f>"2018011224"</f>
        <v>2018011224</v>
      </c>
      <c r="G586" s="9">
        <v>38.5</v>
      </c>
      <c r="H586" s="9">
        <v>72</v>
      </c>
      <c r="I586" s="9">
        <f t="shared" si="40"/>
        <v>61.949999999999996</v>
      </c>
      <c r="J586" s="9"/>
      <c r="K586" s="3">
        <v>12</v>
      </c>
      <c r="L586" s="3">
        <v>24</v>
      </c>
    </row>
    <row r="587" spans="1:12" ht="18.75" customHeight="1">
      <c r="A587" s="3" t="str">
        <f>"10522018022709073082138"</f>
        <v>10522018022709073082138</v>
      </c>
      <c r="B587" s="8" t="s">
        <v>18</v>
      </c>
      <c r="C587" s="9" t="str">
        <f t="shared" ref="C587:C618" si="42">"女"</f>
        <v>女</v>
      </c>
      <c r="D587" s="9" t="str">
        <f>"34160219971011018X"</f>
        <v>34160219971011018X</v>
      </c>
      <c r="E587" s="14" t="str">
        <f t="shared" si="41"/>
        <v>护理</v>
      </c>
      <c r="F587" s="9" t="str">
        <f>"2018011501"</f>
        <v>2018011501</v>
      </c>
      <c r="G587" s="9">
        <v>47.5</v>
      </c>
      <c r="H587" s="9">
        <v>68</v>
      </c>
      <c r="I587" s="9">
        <f t="shared" si="40"/>
        <v>61.849999999999994</v>
      </c>
      <c r="J587" s="9"/>
      <c r="K587" s="3">
        <v>15</v>
      </c>
      <c r="L587" s="3">
        <v>1</v>
      </c>
    </row>
    <row r="588" spans="1:12" ht="18.75" customHeight="1">
      <c r="A588" s="3" t="str">
        <f>"10522018030213282983142"</f>
        <v>10522018030213282983142</v>
      </c>
      <c r="B588" s="8" t="s">
        <v>18</v>
      </c>
      <c r="C588" s="9" t="str">
        <f t="shared" si="42"/>
        <v>女</v>
      </c>
      <c r="D588" s="9" t="str">
        <f>"341226199803112327"</f>
        <v>341226199803112327</v>
      </c>
      <c r="E588" s="14" t="str">
        <f t="shared" si="41"/>
        <v>护理</v>
      </c>
      <c r="F588" s="9" t="str">
        <f>"2018011629"</f>
        <v>2018011629</v>
      </c>
      <c r="G588" s="9">
        <v>40.5</v>
      </c>
      <c r="H588" s="9">
        <v>71</v>
      </c>
      <c r="I588" s="9">
        <f t="shared" si="40"/>
        <v>61.849999999999994</v>
      </c>
      <c r="J588" s="9"/>
      <c r="K588" s="3">
        <v>16</v>
      </c>
      <c r="L588" s="3">
        <v>29</v>
      </c>
    </row>
    <row r="589" spans="1:12" ht="18.75" customHeight="1">
      <c r="A589" s="3" t="str">
        <f>"10522018022609030981564"</f>
        <v>10522018022609030981564</v>
      </c>
      <c r="B589" s="8" t="s">
        <v>18</v>
      </c>
      <c r="C589" s="9" t="str">
        <f t="shared" si="42"/>
        <v>女</v>
      </c>
      <c r="D589" s="9" t="str">
        <f>"34162119961126254X"</f>
        <v>34162119961126254X</v>
      </c>
      <c r="E589" s="14" t="str">
        <f t="shared" si="41"/>
        <v>护理</v>
      </c>
      <c r="F589" s="9" t="str">
        <f>"2018010925"</f>
        <v>2018010925</v>
      </c>
      <c r="G589" s="9">
        <v>42</v>
      </c>
      <c r="H589" s="9">
        <v>70</v>
      </c>
      <c r="I589" s="9">
        <f t="shared" si="40"/>
        <v>61.6</v>
      </c>
      <c r="J589" s="9"/>
      <c r="K589" s="3">
        <v>9</v>
      </c>
      <c r="L589" s="3">
        <v>25</v>
      </c>
    </row>
    <row r="590" spans="1:12" ht="18.75" customHeight="1">
      <c r="A590" s="3" t="str">
        <f>"10522018022614500781895"</f>
        <v>10522018022614500781895</v>
      </c>
      <c r="B590" s="8" t="s">
        <v>18</v>
      </c>
      <c r="C590" s="9" t="str">
        <f t="shared" si="42"/>
        <v>女</v>
      </c>
      <c r="D590" s="9" t="str">
        <f>"341226199703095021"</f>
        <v>341226199703095021</v>
      </c>
      <c r="E590" s="14" t="str">
        <f t="shared" si="41"/>
        <v>护理</v>
      </c>
      <c r="F590" s="9" t="str">
        <f>"2018011227"</f>
        <v>2018011227</v>
      </c>
      <c r="G590" s="9">
        <v>35</v>
      </c>
      <c r="H590" s="9">
        <v>73</v>
      </c>
      <c r="I590" s="9">
        <f t="shared" si="40"/>
        <v>61.599999999999994</v>
      </c>
      <c r="J590" s="9"/>
      <c r="K590" s="3">
        <v>12</v>
      </c>
      <c r="L590" s="3">
        <v>27</v>
      </c>
    </row>
    <row r="591" spans="1:12" ht="18.75" customHeight="1">
      <c r="A591" s="3" t="str">
        <f>"10522018022809170582481"</f>
        <v>10522018022809170582481</v>
      </c>
      <c r="B591" s="8" t="s">
        <v>18</v>
      </c>
      <c r="C591" s="9" t="str">
        <f t="shared" si="42"/>
        <v>女</v>
      </c>
      <c r="D591" s="9" t="str">
        <f>"341223199510093186"</f>
        <v>341223199510093186</v>
      </c>
      <c r="E591" s="14" t="str">
        <f t="shared" si="41"/>
        <v>护理</v>
      </c>
      <c r="F591" s="9" t="str">
        <f>"2018010614"</f>
        <v>2018010614</v>
      </c>
      <c r="G591" s="9">
        <v>18.5</v>
      </c>
      <c r="H591" s="9">
        <v>80</v>
      </c>
      <c r="I591" s="9">
        <f t="shared" si="40"/>
        <v>61.55</v>
      </c>
      <c r="J591" s="9"/>
      <c r="K591" s="3">
        <v>6</v>
      </c>
      <c r="L591" s="3">
        <v>14</v>
      </c>
    </row>
    <row r="592" spans="1:12" ht="18.75" customHeight="1">
      <c r="A592" s="3" t="str">
        <f>"10522018022609075581579"</f>
        <v>10522018022609075581579</v>
      </c>
      <c r="B592" s="8" t="s">
        <v>18</v>
      </c>
      <c r="C592" s="9" t="str">
        <f t="shared" si="42"/>
        <v>女</v>
      </c>
      <c r="D592" s="9" t="str">
        <f>"341224199708289922"</f>
        <v>341224199708289922</v>
      </c>
      <c r="E592" s="14" t="str">
        <f t="shared" si="41"/>
        <v>护理</v>
      </c>
      <c r="F592" s="9" t="str">
        <f>"2018011601"</f>
        <v>2018011601</v>
      </c>
      <c r="G592" s="9">
        <v>20.5</v>
      </c>
      <c r="H592" s="9">
        <v>79</v>
      </c>
      <c r="I592" s="9">
        <f t="shared" si="40"/>
        <v>61.449999999999996</v>
      </c>
      <c r="J592" s="9"/>
      <c r="K592" s="3">
        <v>16</v>
      </c>
      <c r="L592" s="3">
        <v>1</v>
      </c>
    </row>
    <row r="593" spans="1:12" ht="18.75" customHeight="1">
      <c r="A593" s="3" t="str">
        <f>"10522018030215111483179"</f>
        <v>10522018030215111483179</v>
      </c>
      <c r="B593" s="8" t="s">
        <v>18</v>
      </c>
      <c r="C593" s="9" t="str">
        <f t="shared" si="42"/>
        <v>女</v>
      </c>
      <c r="D593" s="9" t="str">
        <f>"341621199603264529"</f>
        <v>341621199603264529</v>
      </c>
      <c r="E593" s="14" t="str">
        <f t="shared" si="41"/>
        <v>护理</v>
      </c>
      <c r="F593" s="9" t="str">
        <f>"2018011812"</f>
        <v>2018011812</v>
      </c>
      <c r="G593" s="9">
        <v>32</v>
      </c>
      <c r="H593" s="9">
        <v>74</v>
      </c>
      <c r="I593" s="9">
        <f t="shared" si="40"/>
        <v>61.4</v>
      </c>
      <c r="J593" s="9"/>
      <c r="K593" s="3">
        <v>18</v>
      </c>
      <c r="L593" s="3">
        <v>12</v>
      </c>
    </row>
    <row r="594" spans="1:12" ht="18.75" customHeight="1">
      <c r="A594" s="3" t="str">
        <f>"10522018022820371582727"</f>
        <v>10522018022820371582727</v>
      </c>
      <c r="B594" s="8" t="s">
        <v>18</v>
      </c>
      <c r="C594" s="9" t="str">
        <f t="shared" si="42"/>
        <v>女</v>
      </c>
      <c r="D594" s="9" t="str">
        <f>"340621199405177888"</f>
        <v>340621199405177888</v>
      </c>
      <c r="E594" s="14" t="str">
        <f t="shared" si="41"/>
        <v>护理</v>
      </c>
      <c r="F594" s="9" t="str">
        <f>"2018012116"</f>
        <v>2018012116</v>
      </c>
      <c r="G594" s="9">
        <v>46</v>
      </c>
      <c r="H594" s="9">
        <v>68</v>
      </c>
      <c r="I594" s="9">
        <f t="shared" si="40"/>
        <v>61.399999999999991</v>
      </c>
      <c r="J594" s="9"/>
      <c r="K594" s="3">
        <v>21</v>
      </c>
      <c r="L594" s="3">
        <v>16</v>
      </c>
    </row>
    <row r="595" spans="1:12" ht="18.75" customHeight="1">
      <c r="A595" s="3" t="str">
        <f>"10522018022813402782595"</f>
        <v>10522018022813402782595</v>
      </c>
      <c r="B595" s="8" t="s">
        <v>18</v>
      </c>
      <c r="C595" s="9" t="str">
        <f t="shared" si="42"/>
        <v>女</v>
      </c>
      <c r="D595" s="9" t="str">
        <f>"341223199603024964"</f>
        <v>341223199603024964</v>
      </c>
      <c r="E595" s="14" t="str">
        <f t="shared" si="41"/>
        <v>护理</v>
      </c>
      <c r="F595" s="9" t="str">
        <f>"2018011528"</f>
        <v>2018011528</v>
      </c>
      <c r="G595" s="9">
        <v>36.5</v>
      </c>
      <c r="H595" s="9">
        <v>72</v>
      </c>
      <c r="I595" s="9">
        <f t="shared" si="40"/>
        <v>61.349999999999994</v>
      </c>
      <c r="J595" s="9"/>
      <c r="K595" s="3">
        <v>15</v>
      </c>
      <c r="L595" s="3">
        <v>28</v>
      </c>
    </row>
    <row r="596" spans="1:12" ht="18.75" customHeight="1">
      <c r="A596" s="3" t="str">
        <f>"10522018022612164481784"</f>
        <v>10522018022612164481784</v>
      </c>
      <c r="B596" s="8" t="s">
        <v>18</v>
      </c>
      <c r="C596" s="9" t="str">
        <f t="shared" si="42"/>
        <v>女</v>
      </c>
      <c r="D596" s="9" t="str">
        <f>"341227199403310427"</f>
        <v>341227199403310427</v>
      </c>
      <c r="E596" s="14" t="str">
        <f t="shared" si="41"/>
        <v>护理</v>
      </c>
      <c r="F596" s="9" t="str">
        <f>"2018010821"</f>
        <v>2018010821</v>
      </c>
      <c r="G596" s="9">
        <v>34</v>
      </c>
      <c r="H596" s="9">
        <v>73</v>
      </c>
      <c r="I596" s="9">
        <f t="shared" si="40"/>
        <v>61.3</v>
      </c>
      <c r="J596" s="9"/>
      <c r="K596" s="3">
        <v>8</v>
      </c>
      <c r="L596" s="3">
        <v>21</v>
      </c>
    </row>
    <row r="597" spans="1:12" ht="18.75" customHeight="1">
      <c r="A597" s="3" t="str">
        <f>"10522018022711572982203"</f>
        <v>10522018022711572982203</v>
      </c>
      <c r="B597" s="8" t="s">
        <v>18</v>
      </c>
      <c r="C597" s="9" t="str">
        <f t="shared" si="42"/>
        <v>女</v>
      </c>
      <c r="D597" s="9" t="str">
        <f>"341227199608047044"</f>
        <v>341227199608047044</v>
      </c>
      <c r="E597" s="14" t="str">
        <f t="shared" si="41"/>
        <v>护理</v>
      </c>
      <c r="F597" s="9" t="str">
        <f>"2018011630"</f>
        <v>2018011630</v>
      </c>
      <c r="G597" s="9">
        <v>34</v>
      </c>
      <c r="H597" s="9">
        <v>73</v>
      </c>
      <c r="I597" s="9">
        <f t="shared" si="40"/>
        <v>61.3</v>
      </c>
      <c r="J597" s="9"/>
      <c r="K597" s="3">
        <v>16</v>
      </c>
      <c r="L597" s="3">
        <v>30</v>
      </c>
    </row>
    <row r="598" spans="1:12" ht="18.75" customHeight="1">
      <c r="A598" s="3" t="str">
        <f>"10522018022721370782425"</f>
        <v>10522018022721370782425</v>
      </c>
      <c r="B598" s="8" t="s">
        <v>18</v>
      </c>
      <c r="C598" s="9" t="str">
        <f t="shared" si="42"/>
        <v>女</v>
      </c>
      <c r="D598" s="9" t="str">
        <f>"341223199609092722"</f>
        <v>341223199609092722</v>
      </c>
      <c r="E598" s="14" t="str">
        <f t="shared" si="41"/>
        <v>护理</v>
      </c>
      <c r="F598" s="9" t="str">
        <f>"2018010906"</f>
        <v>2018010906</v>
      </c>
      <c r="G598" s="9">
        <v>26.5</v>
      </c>
      <c r="H598" s="9">
        <v>76</v>
      </c>
      <c r="I598" s="9">
        <f t="shared" si="40"/>
        <v>61.149999999999991</v>
      </c>
      <c r="J598" s="9"/>
      <c r="K598" s="3">
        <v>9</v>
      </c>
      <c r="L598" s="3">
        <v>6</v>
      </c>
    </row>
    <row r="599" spans="1:12" ht="18.75" customHeight="1">
      <c r="A599" s="3" t="str">
        <f>"10522018022721013182411"</f>
        <v>10522018022721013182411</v>
      </c>
      <c r="B599" s="8" t="s">
        <v>18</v>
      </c>
      <c r="C599" s="9" t="str">
        <f t="shared" si="42"/>
        <v>女</v>
      </c>
      <c r="D599" s="9" t="str">
        <f>"340621199409068769"</f>
        <v>340621199409068769</v>
      </c>
      <c r="E599" s="14" t="str">
        <f t="shared" si="41"/>
        <v>护理</v>
      </c>
      <c r="F599" s="9" t="str">
        <f>"2018012119"</f>
        <v>2018012119</v>
      </c>
      <c r="G599" s="9">
        <v>26.5</v>
      </c>
      <c r="H599" s="9">
        <v>76</v>
      </c>
      <c r="I599" s="9">
        <f t="shared" si="40"/>
        <v>61.149999999999991</v>
      </c>
      <c r="J599" s="9"/>
      <c r="K599" s="3">
        <v>21</v>
      </c>
      <c r="L599" s="3">
        <v>19</v>
      </c>
    </row>
    <row r="600" spans="1:12" ht="18.75" customHeight="1">
      <c r="A600" s="3" t="str">
        <f>"10522018030111004282834"</f>
        <v>10522018030111004282834</v>
      </c>
      <c r="B600" s="8" t="s">
        <v>18</v>
      </c>
      <c r="C600" s="9" t="str">
        <f t="shared" si="42"/>
        <v>女</v>
      </c>
      <c r="D600" s="9" t="str">
        <f>"341281199701091582"</f>
        <v>341281199701091582</v>
      </c>
      <c r="E600" s="14" t="str">
        <f t="shared" si="41"/>
        <v>护理</v>
      </c>
      <c r="F600" s="9" t="str">
        <f>"2018011808"</f>
        <v>2018011808</v>
      </c>
      <c r="G600" s="9">
        <v>23.5</v>
      </c>
      <c r="H600" s="9">
        <v>77</v>
      </c>
      <c r="I600" s="9">
        <f t="shared" si="40"/>
        <v>60.949999999999996</v>
      </c>
      <c r="J600" s="9"/>
      <c r="K600" s="3">
        <v>18</v>
      </c>
      <c r="L600" s="3">
        <v>8</v>
      </c>
    </row>
    <row r="601" spans="1:12" ht="18.75" customHeight="1">
      <c r="A601" s="3" t="str">
        <f>"10522018022611114081741"</f>
        <v>10522018022611114081741</v>
      </c>
      <c r="B601" s="8" t="s">
        <v>18</v>
      </c>
      <c r="C601" s="9" t="str">
        <f t="shared" si="42"/>
        <v>女</v>
      </c>
      <c r="D601" s="9" t="str">
        <f>"341227199706077028"</f>
        <v>341227199706077028</v>
      </c>
      <c r="E601" s="14" t="str">
        <f t="shared" si="41"/>
        <v>护理</v>
      </c>
      <c r="F601" s="9" t="str">
        <f>"2018011103"</f>
        <v>2018011103</v>
      </c>
      <c r="G601" s="9">
        <v>32</v>
      </c>
      <c r="H601" s="9">
        <v>73</v>
      </c>
      <c r="I601" s="9">
        <f t="shared" si="40"/>
        <v>60.699999999999996</v>
      </c>
      <c r="J601" s="9"/>
      <c r="K601" s="3">
        <v>11</v>
      </c>
      <c r="L601" s="3">
        <v>3</v>
      </c>
    </row>
    <row r="602" spans="1:12" ht="18.75" customHeight="1">
      <c r="A602" s="3" t="str">
        <f>"10522018022810124282504"</f>
        <v>10522018022810124282504</v>
      </c>
      <c r="B602" s="8" t="s">
        <v>18</v>
      </c>
      <c r="C602" s="9" t="str">
        <f t="shared" si="42"/>
        <v>女</v>
      </c>
      <c r="D602" s="9" t="str">
        <f>"341223199505284527"</f>
        <v>341223199505284527</v>
      </c>
      <c r="E602" s="14" t="str">
        <f t="shared" si="41"/>
        <v>护理</v>
      </c>
      <c r="F602" s="9" t="str">
        <f>"2018011202"</f>
        <v>2018011202</v>
      </c>
      <c r="G602" s="9">
        <v>29.5</v>
      </c>
      <c r="H602" s="9">
        <v>74</v>
      </c>
      <c r="I602" s="9">
        <f t="shared" si="40"/>
        <v>60.65</v>
      </c>
      <c r="J602" s="9"/>
      <c r="K602" s="3">
        <v>12</v>
      </c>
      <c r="L602" s="3">
        <v>2</v>
      </c>
    </row>
    <row r="603" spans="1:12" ht="18.75" customHeight="1">
      <c r="A603" s="3" t="str">
        <f>"10522018030209294083086"</f>
        <v>10522018030209294083086</v>
      </c>
      <c r="B603" s="8" t="s">
        <v>18</v>
      </c>
      <c r="C603" s="9" t="str">
        <f t="shared" si="42"/>
        <v>女</v>
      </c>
      <c r="D603" s="9" t="str">
        <f>"341621199504071924"</f>
        <v>341621199504071924</v>
      </c>
      <c r="E603" s="14" t="str">
        <f t="shared" si="41"/>
        <v>护理</v>
      </c>
      <c r="F603" s="9" t="str">
        <f>"2018011410"</f>
        <v>2018011410</v>
      </c>
      <c r="G603" s="9">
        <v>27</v>
      </c>
      <c r="H603" s="9">
        <v>75</v>
      </c>
      <c r="I603" s="9">
        <f t="shared" si="40"/>
        <v>60.6</v>
      </c>
      <c r="J603" s="9"/>
      <c r="K603" s="3">
        <v>14</v>
      </c>
      <c r="L603" s="3">
        <v>10</v>
      </c>
    </row>
    <row r="604" spans="1:12" ht="18.75" customHeight="1">
      <c r="A604" s="3" t="str">
        <f>"10522018022822382182765"</f>
        <v>10522018022822382182765</v>
      </c>
      <c r="B604" s="8" t="s">
        <v>18</v>
      </c>
      <c r="C604" s="9" t="str">
        <f t="shared" si="42"/>
        <v>女</v>
      </c>
      <c r="D604" s="9" t="str">
        <f>"341227199612204022"</f>
        <v>341227199612204022</v>
      </c>
      <c r="E604" s="14" t="str">
        <f t="shared" si="41"/>
        <v>护理</v>
      </c>
      <c r="F604" s="9" t="str">
        <f>"2018011913"</f>
        <v>2018011913</v>
      </c>
      <c r="G604" s="9">
        <v>31.5</v>
      </c>
      <c r="H604" s="9">
        <v>73</v>
      </c>
      <c r="I604" s="9">
        <f t="shared" si="40"/>
        <v>60.55</v>
      </c>
      <c r="J604" s="9"/>
      <c r="K604" s="3">
        <v>19</v>
      </c>
      <c r="L604" s="3">
        <v>13</v>
      </c>
    </row>
    <row r="605" spans="1:12" ht="18.75" customHeight="1">
      <c r="A605" s="3" t="str">
        <f>"10522018022612411881804"</f>
        <v>10522018022612411881804</v>
      </c>
      <c r="B605" s="8" t="s">
        <v>18</v>
      </c>
      <c r="C605" s="9" t="str">
        <f t="shared" si="42"/>
        <v>女</v>
      </c>
      <c r="D605" s="9" t="str">
        <f>"341621199610164526"</f>
        <v>341621199610164526</v>
      </c>
      <c r="E605" s="14" t="str">
        <f t="shared" si="41"/>
        <v>护理</v>
      </c>
      <c r="F605" s="9" t="str">
        <f>"2018010724"</f>
        <v>2018010724</v>
      </c>
      <c r="G605" s="9">
        <v>47.5</v>
      </c>
      <c r="H605" s="9">
        <v>66</v>
      </c>
      <c r="I605" s="9">
        <f t="shared" si="40"/>
        <v>60.449999999999996</v>
      </c>
      <c r="J605" s="9"/>
      <c r="K605" s="3">
        <v>7</v>
      </c>
      <c r="L605" s="3">
        <v>24</v>
      </c>
    </row>
    <row r="606" spans="1:12" ht="18.75" customHeight="1">
      <c r="A606" s="3" t="str">
        <f>"10522018022614315681883"</f>
        <v>10522018022614315681883</v>
      </c>
      <c r="B606" s="8" t="s">
        <v>18</v>
      </c>
      <c r="C606" s="9" t="str">
        <f t="shared" si="42"/>
        <v>女</v>
      </c>
      <c r="D606" s="9" t="str">
        <f>"341226199811300125"</f>
        <v>341226199811300125</v>
      </c>
      <c r="E606" s="14" t="str">
        <f t="shared" si="41"/>
        <v>护理</v>
      </c>
      <c r="F606" s="9" t="str">
        <f>"2018010902"</f>
        <v>2018010902</v>
      </c>
      <c r="G606" s="9">
        <v>47.5</v>
      </c>
      <c r="H606" s="9">
        <v>66</v>
      </c>
      <c r="I606" s="9">
        <f t="shared" si="40"/>
        <v>60.449999999999996</v>
      </c>
      <c r="J606" s="9"/>
      <c r="K606" s="3">
        <v>9</v>
      </c>
      <c r="L606" s="3">
        <v>2</v>
      </c>
    </row>
    <row r="607" spans="1:12" ht="18.75" customHeight="1">
      <c r="A607" s="3" t="str">
        <f>"10522018022611305481761"</f>
        <v>10522018022611305481761</v>
      </c>
      <c r="B607" s="8" t="s">
        <v>18</v>
      </c>
      <c r="C607" s="9" t="str">
        <f t="shared" si="42"/>
        <v>女</v>
      </c>
      <c r="D607" s="9" t="str">
        <f>"341602199803243766"</f>
        <v>341602199803243766</v>
      </c>
      <c r="E607" s="14" t="str">
        <f t="shared" si="41"/>
        <v>护理</v>
      </c>
      <c r="F607" s="9" t="str">
        <f>"2018010923"</f>
        <v>2018010923</v>
      </c>
      <c r="G607" s="9">
        <v>33.5</v>
      </c>
      <c r="H607" s="9">
        <v>72</v>
      </c>
      <c r="I607" s="9">
        <f t="shared" si="40"/>
        <v>60.449999999999996</v>
      </c>
      <c r="J607" s="9"/>
      <c r="K607" s="3">
        <v>9</v>
      </c>
      <c r="L607" s="3">
        <v>23</v>
      </c>
    </row>
    <row r="608" spans="1:12" ht="18.75" customHeight="1">
      <c r="A608" s="3" t="str">
        <f>"10522018022818053382676"</f>
        <v>10522018022818053382676</v>
      </c>
      <c r="B608" s="8" t="s">
        <v>18</v>
      </c>
      <c r="C608" s="9" t="str">
        <f t="shared" si="42"/>
        <v>女</v>
      </c>
      <c r="D608" s="9" t="str">
        <f>"341621199301024124"</f>
        <v>341621199301024124</v>
      </c>
      <c r="E608" s="14" t="str">
        <f t="shared" si="41"/>
        <v>护理</v>
      </c>
      <c r="F608" s="9" t="str">
        <f>"2018011121"</f>
        <v>2018011121</v>
      </c>
      <c r="G608" s="9">
        <v>45</v>
      </c>
      <c r="H608" s="9">
        <v>67</v>
      </c>
      <c r="I608" s="9">
        <f t="shared" si="40"/>
        <v>60.4</v>
      </c>
      <c r="J608" s="9"/>
      <c r="K608" s="3">
        <v>11</v>
      </c>
      <c r="L608" s="3">
        <v>21</v>
      </c>
    </row>
    <row r="609" spans="1:12" ht="18.75" customHeight="1">
      <c r="A609" s="3" t="str">
        <f>"10522018022811031282533"</f>
        <v>10522018022811031282533</v>
      </c>
      <c r="B609" s="8" t="s">
        <v>18</v>
      </c>
      <c r="C609" s="9" t="str">
        <f t="shared" si="42"/>
        <v>女</v>
      </c>
      <c r="D609" s="9" t="str">
        <f>"341621199405101761"</f>
        <v>341621199405101761</v>
      </c>
      <c r="E609" s="14" t="str">
        <f t="shared" si="41"/>
        <v>护理</v>
      </c>
      <c r="F609" s="9" t="str">
        <f>"2018010701"</f>
        <v>2018010701</v>
      </c>
      <c r="G609" s="9">
        <v>31</v>
      </c>
      <c r="H609" s="9">
        <v>73</v>
      </c>
      <c r="I609" s="9">
        <f t="shared" si="40"/>
        <v>60.399999999999991</v>
      </c>
      <c r="J609" s="9"/>
      <c r="K609" s="3">
        <v>7</v>
      </c>
      <c r="L609" s="3">
        <v>1</v>
      </c>
    </row>
    <row r="610" spans="1:12" ht="18.75" customHeight="1">
      <c r="A610" s="3" t="str">
        <f>"10522018022720392382403"</f>
        <v>10522018022720392382403</v>
      </c>
      <c r="B610" s="8" t="s">
        <v>18</v>
      </c>
      <c r="C610" s="9" t="str">
        <f t="shared" si="42"/>
        <v>女</v>
      </c>
      <c r="D610" s="9" t="str">
        <f>"34122119960919462X"</f>
        <v>34122119960919462X</v>
      </c>
      <c r="E610" s="14" t="str">
        <f t="shared" si="41"/>
        <v>护理</v>
      </c>
      <c r="F610" s="9" t="str">
        <f>"2018011406"</f>
        <v>2018011406</v>
      </c>
      <c r="G610" s="9">
        <v>38.5</v>
      </c>
      <c r="H610" s="9">
        <v>69</v>
      </c>
      <c r="I610" s="9">
        <f t="shared" si="40"/>
        <v>59.849999999999994</v>
      </c>
      <c r="J610" s="9"/>
      <c r="K610" s="3">
        <v>14</v>
      </c>
      <c r="L610" s="3">
        <v>6</v>
      </c>
    </row>
    <row r="611" spans="1:12" ht="18.75" customHeight="1">
      <c r="A611" s="3" t="str">
        <f>"10522018022711101982192"</f>
        <v>10522018022711101982192</v>
      </c>
      <c r="B611" s="8" t="s">
        <v>18</v>
      </c>
      <c r="C611" s="9" t="str">
        <f t="shared" si="42"/>
        <v>女</v>
      </c>
      <c r="D611" s="9" t="str">
        <f>"341221199505182800"</f>
        <v>341221199505182800</v>
      </c>
      <c r="E611" s="14" t="str">
        <f t="shared" si="41"/>
        <v>护理</v>
      </c>
      <c r="F611" s="9" t="str">
        <f>"2018011001"</f>
        <v>2018011001</v>
      </c>
      <c r="G611" s="9">
        <v>24</v>
      </c>
      <c r="H611" s="9">
        <v>75</v>
      </c>
      <c r="I611" s="9">
        <f t="shared" si="40"/>
        <v>59.7</v>
      </c>
      <c r="J611" s="9"/>
      <c r="K611" s="3">
        <v>10</v>
      </c>
      <c r="L611" s="3">
        <v>1</v>
      </c>
    </row>
    <row r="612" spans="1:12" ht="18.75" customHeight="1">
      <c r="A612" s="3" t="str">
        <f>"10522018030122194583047"</f>
        <v>10522018030122194583047</v>
      </c>
      <c r="B612" s="8" t="s">
        <v>18</v>
      </c>
      <c r="C612" s="9" t="str">
        <f t="shared" si="42"/>
        <v>女</v>
      </c>
      <c r="D612" s="9" t="str">
        <f>"341227199609072647"</f>
        <v>341227199609072647</v>
      </c>
      <c r="E612" s="14" t="str">
        <f t="shared" si="41"/>
        <v>护理</v>
      </c>
      <c r="F612" s="9" t="str">
        <f>"2018010814"</f>
        <v>2018010814</v>
      </c>
      <c r="G612" s="9">
        <v>37.5</v>
      </c>
      <c r="H612" s="9">
        <v>69</v>
      </c>
      <c r="I612" s="9">
        <f t="shared" si="40"/>
        <v>59.55</v>
      </c>
      <c r="J612" s="9"/>
      <c r="K612" s="3">
        <v>8</v>
      </c>
      <c r="L612" s="3">
        <v>14</v>
      </c>
    </row>
    <row r="613" spans="1:12" ht="18.75" customHeight="1">
      <c r="A613" s="3" t="str">
        <f>"10522018030115151482928"</f>
        <v>10522018030115151482928</v>
      </c>
      <c r="B613" s="8" t="s">
        <v>18</v>
      </c>
      <c r="C613" s="9" t="str">
        <f t="shared" si="42"/>
        <v>女</v>
      </c>
      <c r="D613" s="9" t="str">
        <f>"341221199311123466"</f>
        <v>341221199311123466</v>
      </c>
      <c r="E613" s="14" t="str">
        <f t="shared" si="41"/>
        <v>护理</v>
      </c>
      <c r="F613" s="9" t="str">
        <f>"2018011108"</f>
        <v>2018011108</v>
      </c>
      <c r="G613" s="9">
        <v>30.5</v>
      </c>
      <c r="H613" s="9">
        <v>72</v>
      </c>
      <c r="I613" s="9">
        <f t="shared" si="40"/>
        <v>59.55</v>
      </c>
      <c r="J613" s="9"/>
      <c r="K613" s="3">
        <v>11</v>
      </c>
      <c r="L613" s="3">
        <v>8</v>
      </c>
    </row>
    <row r="614" spans="1:12" ht="18.75" customHeight="1">
      <c r="A614" s="3" t="str">
        <f>"10522018022609071981577"</f>
        <v>10522018022609071981577</v>
      </c>
      <c r="B614" s="8" t="s">
        <v>18</v>
      </c>
      <c r="C614" s="9" t="str">
        <f t="shared" si="42"/>
        <v>女</v>
      </c>
      <c r="D614" s="9" t="str">
        <f>"341223199610034925"</f>
        <v>341223199610034925</v>
      </c>
      <c r="E614" s="14" t="str">
        <f t="shared" si="41"/>
        <v>护理</v>
      </c>
      <c r="F614" s="9" t="str">
        <f>"2018011725"</f>
        <v>2018011725</v>
      </c>
      <c r="G614" s="9">
        <v>37</v>
      </c>
      <c r="H614" s="9">
        <v>69</v>
      </c>
      <c r="I614" s="9">
        <f t="shared" si="40"/>
        <v>59.4</v>
      </c>
      <c r="J614" s="9"/>
      <c r="K614" s="3">
        <v>17</v>
      </c>
      <c r="L614" s="3">
        <v>25</v>
      </c>
    </row>
    <row r="615" spans="1:12" ht="18.75" customHeight="1">
      <c r="A615" s="3" t="str">
        <f>"10522018022610274681674"</f>
        <v>10522018022610274681674</v>
      </c>
      <c r="B615" s="8" t="s">
        <v>18</v>
      </c>
      <c r="C615" s="9" t="str">
        <f t="shared" si="42"/>
        <v>女</v>
      </c>
      <c r="D615" s="9" t="str">
        <f>"341223199505100927"</f>
        <v>341223199505100927</v>
      </c>
      <c r="E615" s="14" t="str">
        <f t="shared" ref="E615:E639" si="43">"护理"</f>
        <v>护理</v>
      </c>
      <c r="F615" s="9" t="str">
        <f>"2018010627"</f>
        <v>2018010627</v>
      </c>
      <c r="G615" s="9">
        <v>20.5</v>
      </c>
      <c r="H615" s="9">
        <v>76</v>
      </c>
      <c r="I615" s="9">
        <f t="shared" si="40"/>
        <v>59.349999999999994</v>
      </c>
      <c r="J615" s="9"/>
      <c r="K615" s="3">
        <v>6</v>
      </c>
      <c r="L615" s="3">
        <v>27</v>
      </c>
    </row>
    <row r="616" spans="1:12" ht="18.75" customHeight="1">
      <c r="A616" s="3" t="str">
        <f>"10522018030109493082813"</f>
        <v>10522018030109493082813</v>
      </c>
      <c r="B616" s="8" t="s">
        <v>18</v>
      </c>
      <c r="C616" s="9" t="str">
        <f t="shared" si="42"/>
        <v>女</v>
      </c>
      <c r="D616" s="9" t="str">
        <f>"341226199701023761"</f>
        <v>341226199701023761</v>
      </c>
      <c r="E616" s="14" t="str">
        <f t="shared" si="43"/>
        <v>护理</v>
      </c>
      <c r="F616" s="9" t="str">
        <f>"2018010623"</f>
        <v>2018010623</v>
      </c>
      <c r="G616" s="9">
        <v>27</v>
      </c>
      <c r="H616" s="9">
        <v>73</v>
      </c>
      <c r="I616" s="9">
        <f t="shared" si="40"/>
        <v>59.199999999999996</v>
      </c>
      <c r="J616" s="9"/>
      <c r="K616" s="3">
        <v>6</v>
      </c>
      <c r="L616" s="3">
        <v>23</v>
      </c>
    </row>
    <row r="617" spans="1:12" ht="18.75" customHeight="1">
      <c r="A617" s="3" t="str">
        <f>"10522018022716295282303"</f>
        <v>10522018022716295282303</v>
      </c>
      <c r="B617" s="8" t="s">
        <v>18</v>
      </c>
      <c r="C617" s="9" t="str">
        <f t="shared" si="42"/>
        <v>女</v>
      </c>
      <c r="D617" s="9" t="str">
        <f>"341621199409062982"</f>
        <v>341621199409062982</v>
      </c>
      <c r="E617" s="14" t="str">
        <f t="shared" si="43"/>
        <v>护理</v>
      </c>
      <c r="F617" s="9" t="str">
        <f>"2018012120"</f>
        <v>2018012120</v>
      </c>
      <c r="G617" s="9">
        <v>31</v>
      </c>
      <c r="H617" s="9">
        <v>71</v>
      </c>
      <c r="I617" s="9">
        <f t="shared" si="40"/>
        <v>58.999999999999993</v>
      </c>
      <c r="J617" s="9"/>
      <c r="K617" s="3">
        <v>21</v>
      </c>
      <c r="L617" s="3">
        <v>20</v>
      </c>
    </row>
    <row r="618" spans="1:12" ht="18.75" customHeight="1">
      <c r="A618" s="3" t="str">
        <f>"10522018022611295881760"</f>
        <v>10522018022611295881760</v>
      </c>
      <c r="B618" s="8" t="s">
        <v>18</v>
      </c>
      <c r="C618" s="9" t="str">
        <f t="shared" si="42"/>
        <v>女</v>
      </c>
      <c r="D618" s="9" t="str">
        <f>"34162319950621002X"</f>
        <v>34162319950621002X</v>
      </c>
      <c r="E618" s="14" t="str">
        <f t="shared" si="43"/>
        <v>护理</v>
      </c>
      <c r="F618" s="9" t="str">
        <f>"2018011423"</f>
        <v>2018011423</v>
      </c>
      <c r="G618" s="9">
        <v>37.5</v>
      </c>
      <c r="H618" s="9">
        <v>68</v>
      </c>
      <c r="I618" s="9">
        <f t="shared" si="40"/>
        <v>58.849999999999994</v>
      </c>
      <c r="J618" s="9"/>
      <c r="K618" s="3">
        <v>14</v>
      </c>
      <c r="L618" s="3">
        <v>23</v>
      </c>
    </row>
    <row r="619" spans="1:12" ht="18.75" customHeight="1">
      <c r="A619" s="3" t="str">
        <f>"10522018022617440681993"</f>
        <v>10522018022617440681993</v>
      </c>
      <c r="B619" s="8" t="s">
        <v>18</v>
      </c>
      <c r="C619" s="9" t="str">
        <f t="shared" ref="C619:C650" si="44">"女"</f>
        <v>女</v>
      </c>
      <c r="D619" s="9" t="str">
        <f>"341227199806255223"</f>
        <v>341227199806255223</v>
      </c>
      <c r="E619" s="14" t="str">
        <f t="shared" si="43"/>
        <v>护理</v>
      </c>
      <c r="F619" s="9" t="str">
        <f>"2018010629"</f>
        <v>2018010629</v>
      </c>
      <c r="G619" s="9">
        <v>28</v>
      </c>
      <c r="H619" s="9">
        <v>72</v>
      </c>
      <c r="I619" s="9">
        <f t="shared" si="40"/>
        <v>58.8</v>
      </c>
      <c r="J619" s="9"/>
      <c r="K619" s="3">
        <v>6</v>
      </c>
      <c r="L619" s="3">
        <v>29</v>
      </c>
    </row>
    <row r="620" spans="1:12" ht="18.75" customHeight="1">
      <c r="A620" s="3" t="str">
        <f>"10522018022810154082505"</f>
        <v>10522018022810154082505</v>
      </c>
      <c r="B620" s="8" t="s">
        <v>18</v>
      </c>
      <c r="C620" s="9" t="str">
        <f t="shared" si="44"/>
        <v>女</v>
      </c>
      <c r="D620" s="9" t="str">
        <f>"341224199504206064"</f>
        <v>341224199504206064</v>
      </c>
      <c r="E620" s="14" t="str">
        <f t="shared" si="43"/>
        <v>护理</v>
      </c>
      <c r="F620" s="9" t="str">
        <f>"2018011814"</f>
        <v>2018011814</v>
      </c>
      <c r="G620" s="9">
        <v>25.5</v>
      </c>
      <c r="H620" s="9">
        <v>73</v>
      </c>
      <c r="I620" s="9">
        <f t="shared" si="40"/>
        <v>58.749999999999993</v>
      </c>
      <c r="J620" s="9"/>
      <c r="K620" s="3">
        <v>18</v>
      </c>
      <c r="L620" s="3">
        <v>14</v>
      </c>
    </row>
    <row r="621" spans="1:12" ht="18.75" customHeight="1">
      <c r="A621" s="3" t="str">
        <f>"10522018022616284881955"</f>
        <v>10522018022616284881955</v>
      </c>
      <c r="B621" s="8" t="s">
        <v>18</v>
      </c>
      <c r="C621" s="9" t="str">
        <f t="shared" si="44"/>
        <v>女</v>
      </c>
      <c r="D621" s="9" t="str">
        <f>"341223199511105345"</f>
        <v>341223199511105345</v>
      </c>
      <c r="E621" s="14" t="str">
        <f t="shared" si="43"/>
        <v>护理</v>
      </c>
      <c r="F621" s="9" t="str">
        <f>"2018011708"</f>
        <v>2018011708</v>
      </c>
      <c r="G621" s="9">
        <v>37</v>
      </c>
      <c r="H621" s="9">
        <v>68</v>
      </c>
      <c r="I621" s="9">
        <f t="shared" si="40"/>
        <v>58.699999999999996</v>
      </c>
      <c r="J621" s="9"/>
      <c r="K621" s="3">
        <v>17</v>
      </c>
      <c r="L621" s="3">
        <v>8</v>
      </c>
    </row>
    <row r="622" spans="1:12" ht="18.75" customHeight="1">
      <c r="A622" s="3" t="str">
        <f>"10522018022710223982174"</f>
        <v>10522018022710223982174</v>
      </c>
      <c r="B622" s="8" t="s">
        <v>18</v>
      </c>
      <c r="C622" s="9" t="str">
        <f t="shared" si="44"/>
        <v>女</v>
      </c>
      <c r="D622" s="9" t="str">
        <f>"341223199607143741"</f>
        <v>341223199607143741</v>
      </c>
      <c r="E622" s="14" t="str">
        <f t="shared" si="43"/>
        <v>护理</v>
      </c>
      <c r="F622" s="9" t="str">
        <f>"2018011906"</f>
        <v>2018011906</v>
      </c>
      <c r="G622" s="9">
        <v>23</v>
      </c>
      <c r="H622" s="9">
        <v>74</v>
      </c>
      <c r="I622" s="9">
        <f t="shared" si="40"/>
        <v>58.699999999999996</v>
      </c>
      <c r="J622" s="9"/>
      <c r="K622" s="3">
        <v>19</v>
      </c>
      <c r="L622" s="3">
        <v>6</v>
      </c>
    </row>
    <row r="623" spans="1:12" ht="18.75" customHeight="1">
      <c r="A623" s="3" t="str">
        <f>"10522018022612283681793"</f>
        <v>10522018022612283681793</v>
      </c>
      <c r="B623" s="8" t="s">
        <v>18</v>
      </c>
      <c r="C623" s="9" t="str">
        <f t="shared" si="44"/>
        <v>女</v>
      </c>
      <c r="D623" s="9" t="str">
        <f>"341223199603122185"</f>
        <v>341223199603122185</v>
      </c>
      <c r="E623" s="14" t="str">
        <f t="shared" si="43"/>
        <v>护理</v>
      </c>
      <c r="F623" s="9" t="str">
        <f>"2018011006"</f>
        <v>2018011006</v>
      </c>
      <c r="G623" s="9">
        <v>28.5</v>
      </c>
      <c r="H623" s="9">
        <v>71</v>
      </c>
      <c r="I623" s="9">
        <f t="shared" si="40"/>
        <v>58.249999999999993</v>
      </c>
      <c r="J623" s="9"/>
      <c r="K623" s="3">
        <v>10</v>
      </c>
      <c r="L623" s="3">
        <v>6</v>
      </c>
    </row>
    <row r="624" spans="1:12" ht="18.75" customHeight="1">
      <c r="A624" s="3" t="str">
        <f>"10522018022619541582042"</f>
        <v>10522018022619541582042</v>
      </c>
      <c r="B624" s="8" t="s">
        <v>18</v>
      </c>
      <c r="C624" s="9" t="str">
        <f t="shared" si="44"/>
        <v>女</v>
      </c>
      <c r="D624" s="9" t="str">
        <f>"341224199410016067"</f>
        <v>341224199410016067</v>
      </c>
      <c r="E624" s="14" t="str">
        <f t="shared" si="43"/>
        <v>护理</v>
      </c>
      <c r="F624" s="9" t="str">
        <f>"2018011128"</f>
        <v>2018011128</v>
      </c>
      <c r="G624" s="9">
        <v>28.5</v>
      </c>
      <c r="H624" s="9">
        <v>71</v>
      </c>
      <c r="I624" s="9">
        <f t="shared" si="40"/>
        <v>58.249999999999993</v>
      </c>
      <c r="J624" s="9"/>
      <c r="K624" s="3">
        <v>11</v>
      </c>
      <c r="L624" s="3">
        <v>28</v>
      </c>
    </row>
    <row r="625" spans="1:12" ht="18.75" customHeight="1">
      <c r="A625" s="3" t="str">
        <f>"10522018022814263582614"</f>
        <v>10522018022814263582614</v>
      </c>
      <c r="B625" s="8" t="s">
        <v>18</v>
      </c>
      <c r="C625" s="9" t="str">
        <f t="shared" si="44"/>
        <v>女</v>
      </c>
      <c r="D625" s="9" t="str">
        <f>"341223199408060740"</f>
        <v>341223199408060740</v>
      </c>
      <c r="E625" s="14" t="str">
        <f t="shared" si="43"/>
        <v>护理</v>
      </c>
      <c r="F625" s="9" t="str">
        <f>"2018011320"</f>
        <v>2018011320</v>
      </c>
      <c r="G625" s="9">
        <v>26</v>
      </c>
      <c r="H625" s="9">
        <v>72</v>
      </c>
      <c r="I625" s="9">
        <f t="shared" si="40"/>
        <v>58.199999999999996</v>
      </c>
      <c r="J625" s="9"/>
      <c r="K625" s="3">
        <v>13</v>
      </c>
      <c r="L625" s="3">
        <v>20</v>
      </c>
    </row>
    <row r="626" spans="1:12" ht="18.75" customHeight="1">
      <c r="A626" s="3" t="str">
        <f>"10522018022811021782532"</f>
        <v>10522018022811021782532</v>
      </c>
      <c r="B626" s="8" t="s">
        <v>18</v>
      </c>
      <c r="C626" s="9" t="str">
        <f t="shared" si="44"/>
        <v>女</v>
      </c>
      <c r="D626" s="9" t="str">
        <f>"341222199802210528"</f>
        <v>341222199802210528</v>
      </c>
      <c r="E626" s="14" t="str">
        <f t="shared" si="43"/>
        <v>护理</v>
      </c>
      <c r="F626" s="9" t="str">
        <f>"2018011520"</f>
        <v>2018011520</v>
      </c>
      <c r="G626" s="9">
        <v>13.5</v>
      </c>
      <c r="H626" s="9">
        <v>77</v>
      </c>
      <c r="I626" s="9">
        <f t="shared" si="40"/>
        <v>57.949999999999996</v>
      </c>
      <c r="J626" s="9"/>
      <c r="K626" s="3">
        <v>15</v>
      </c>
      <c r="L626" s="3">
        <v>20</v>
      </c>
    </row>
    <row r="627" spans="1:12" ht="18.75" customHeight="1">
      <c r="A627" s="3" t="str">
        <f>"10522018022718562282343"</f>
        <v>10522018022718562282343</v>
      </c>
      <c r="B627" s="8" t="s">
        <v>18</v>
      </c>
      <c r="C627" s="9" t="str">
        <f t="shared" si="44"/>
        <v>女</v>
      </c>
      <c r="D627" s="9" t="str">
        <f>"341227199402196722"</f>
        <v>341227199402196722</v>
      </c>
      <c r="E627" s="14" t="str">
        <f t="shared" si="43"/>
        <v>护理</v>
      </c>
      <c r="F627" s="9" t="str">
        <f>"2018011104"</f>
        <v>2018011104</v>
      </c>
      <c r="G627" s="9">
        <v>17.5</v>
      </c>
      <c r="H627" s="9">
        <v>75</v>
      </c>
      <c r="I627" s="9">
        <f t="shared" si="40"/>
        <v>57.75</v>
      </c>
      <c r="J627" s="9"/>
      <c r="K627" s="3">
        <v>11</v>
      </c>
      <c r="L627" s="3">
        <v>4</v>
      </c>
    </row>
    <row r="628" spans="1:12" ht="18.75" customHeight="1">
      <c r="A628" s="3" t="str">
        <f>"10522018022610490181712"</f>
        <v>10522018022610490181712</v>
      </c>
      <c r="B628" s="8" t="s">
        <v>18</v>
      </c>
      <c r="C628" s="9" t="str">
        <f t="shared" si="44"/>
        <v>女</v>
      </c>
      <c r="D628" s="9" t="str">
        <f>"341621199805065325"</f>
        <v>341621199805065325</v>
      </c>
      <c r="E628" s="14" t="str">
        <f t="shared" si="43"/>
        <v>护理</v>
      </c>
      <c r="F628" s="9" t="str">
        <f>"2018011312"</f>
        <v>2018011312</v>
      </c>
      <c r="G628" s="9">
        <v>31.5</v>
      </c>
      <c r="H628" s="9">
        <v>69</v>
      </c>
      <c r="I628" s="9">
        <f t="shared" si="40"/>
        <v>57.75</v>
      </c>
      <c r="J628" s="9"/>
      <c r="K628" s="3">
        <v>13</v>
      </c>
      <c r="L628" s="3">
        <v>12</v>
      </c>
    </row>
    <row r="629" spans="1:12" ht="18.75" customHeight="1">
      <c r="A629" s="3" t="str">
        <f>"10522018022613470181857"</f>
        <v>10522018022613470181857</v>
      </c>
      <c r="B629" s="8" t="s">
        <v>18</v>
      </c>
      <c r="C629" s="9" t="str">
        <f t="shared" si="44"/>
        <v>女</v>
      </c>
      <c r="D629" s="9" t="str">
        <f>"341223199703291728"</f>
        <v>341223199703291728</v>
      </c>
      <c r="E629" s="14" t="str">
        <f t="shared" si="43"/>
        <v>护理</v>
      </c>
      <c r="F629" s="9" t="str">
        <f>"2018011223"</f>
        <v>2018011223</v>
      </c>
      <c r="G629" s="9">
        <v>26.5</v>
      </c>
      <c r="H629" s="9">
        <v>71</v>
      </c>
      <c r="I629" s="9">
        <f t="shared" si="40"/>
        <v>57.649999999999991</v>
      </c>
      <c r="J629" s="9"/>
      <c r="K629" s="3">
        <v>12</v>
      </c>
      <c r="L629" s="3">
        <v>23</v>
      </c>
    </row>
    <row r="630" spans="1:12" ht="18.75" customHeight="1">
      <c r="A630" s="3" t="str">
        <f>"10522018030110292882823"</f>
        <v>10522018030110292882823</v>
      </c>
      <c r="B630" s="8" t="s">
        <v>18</v>
      </c>
      <c r="C630" s="9" t="str">
        <f t="shared" si="44"/>
        <v>女</v>
      </c>
      <c r="D630" s="9" t="str">
        <f>"341621199409160101"</f>
        <v>341621199409160101</v>
      </c>
      <c r="E630" s="14" t="str">
        <f t="shared" si="43"/>
        <v>护理</v>
      </c>
      <c r="F630" s="9" t="str">
        <f>"2018011824"</f>
        <v>2018011824</v>
      </c>
      <c r="G630" s="9">
        <v>33.5</v>
      </c>
      <c r="H630" s="9">
        <v>68</v>
      </c>
      <c r="I630" s="9">
        <f t="shared" si="40"/>
        <v>57.649999999999991</v>
      </c>
      <c r="J630" s="9"/>
      <c r="K630" s="3">
        <v>18</v>
      </c>
      <c r="L630" s="3">
        <v>24</v>
      </c>
    </row>
    <row r="631" spans="1:12" ht="18.75" customHeight="1">
      <c r="A631" s="3" t="str">
        <f>"10522018022808075982460"</f>
        <v>10522018022808075982460</v>
      </c>
      <c r="B631" s="8" t="s">
        <v>18</v>
      </c>
      <c r="C631" s="9" t="str">
        <f t="shared" si="44"/>
        <v>女</v>
      </c>
      <c r="D631" s="9" t="str">
        <f>"341224199412102161"</f>
        <v>341224199412102161</v>
      </c>
      <c r="E631" s="14" t="str">
        <f t="shared" si="43"/>
        <v>护理</v>
      </c>
      <c r="F631" s="9" t="str">
        <f>"2018012014"</f>
        <v>2018012014</v>
      </c>
      <c r="G631" s="9">
        <v>24</v>
      </c>
      <c r="H631" s="9">
        <v>72</v>
      </c>
      <c r="I631" s="9">
        <f t="shared" si="40"/>
        <v>57.599999999999994</v>
      </c>
      <c r="J631" s="9"/>
      <c r="K631" s="3">
        <v>20</v>
      </c>
      <c r="L631" s="3">
        <v>14</v>
      </c>
    </row>
    <row r="632" spans="1:12" ht="18.75" customHeight="1">
      <c r="A632" s="3" t="str">
        <f>"10522018022614533881896"</f>
        <v>10522018022614533881896</v>
      </c>
      <c r="B632" s="8" t="s">
        <v>18</v>
      </c>
      <c r="C632" s="9" t="str">
        <f t="shared" si="44"/>
        <v>女</v>
      </c>
      <c r="D632" s="9" t="str">
        <f>"341204199605181825"</f>
        <v>341204199605181825</v>
      </c>
      <c r="E632" s="14" t="str">
        <f t="shared" si="43"/>
        <v>护理</v>
      </c>
      <c r="F632" s="9" t="str">
        <f>"2018011608"</f>
        <v>2018011608</v>
      </c>
      <c r="G632" s="9">
        <v>47</v>
      </c>
      <c r="H632" s="9">
        <v>62</v>
      </c>
      <c r="I632" s="9">
        <f t="shared" si="40"/>
        <v>57.5</v>
      </c>
      <c r="J632" s="9"/>
      <c r="K632" s="3">
        <v>16</v>
      </c>
      <c r="L632" s="3">
        <v>8</v>
      </c>
    </row>
    <row r="633" spans="1:12" ht="18.75" customHeight="1">
      <c r="A633" s="3" t="str">
        <f>"10522018022714214582257"</f>
        <v>10522018022714214582257</v>
      </c>
      <c r="B633" s="8" t="s">
        <v>18</v>
      </c>
      <c r="C633" s="9" t="str">
        <f t="shared" si="44"/>
        <v>女</v>
      </c>
      <c r="D633" s="9" t="str">
        <f>"341621199606062324"</f>
        <v>341621199606062324</v>
      </c>
      <c r="E633" s="14" t="str">
        <f t="shared" si="43"/>
        <v>护理</v>
      </c>
      <c r="F633" s="9" t="str">
        <f>"2018012025"</f>
        <v>2018012025</v>
      </c>
      <c r="G633" s="9">
        <v>26</v>
      </c>
      <c r="H633" s="9">
        <v>71</v>
      </c>
      <c r="I633" s="9">
        <f t="shared" si="40"/>
        <v>57.499999999999993</v>
      </c>
      <c r="J633" s="9"/>
      <c r="K633" s="3">
        <v>20</v>
      </c>
      <c r="L633" s="3">
        <v>25</v>
      </c>
    </row>
    <row r="634" spans="1:12" ht="18.75" customHeight="1">
      <c r="A634" s="3" t="str">
        <f>"10522018022809380782490"</f>
        <v>10522018022809380782490</v>
      </c>
      <c r="B634" s="8" t="s">
        <v>18</v>
      </c>
      <c r="C634" s="9" t="str">
        <f t="shared" si="44"/>
        <v>女</v>
      </c>
      <c r="D634" s="9" t="str">
        <f>"341224199310164521"</f>
        <v>341224199310164521</v>
      </c>
      <c r="E634" s="14" t="str">
        <f t="shared" si="43"/>
        <v>护理</v>
      </c>
      <c r="F634" s="9" t="str">
        <f>"2018010713"</f>
        <v>2018010713</v>
      </c>
      <c r="G634" s="9">
        <v>37</v>
      </c>
      <c r="H634" s="9">
        <v>66</v>
      </c>
      <c r="I634" s="9">
        <f t="shared" si="40"/>
        <v>57.3</v>
      </c>
      <c r="J634" s="9"/>
      <c r="K634" s="3">
        <v>7</v>
      </c>
      <c r="L634" s="3">
        <v>13</v>
      </c>
    </row>
    <row r="635" spans="1:12" ht="18.75" customHeight="1">
      <c r="A635" s="3" t="str">
        <f>"10522018022610301281679"</f>
        <v>10522018022610301281679</v>
      </c>
      <c r="B635" s="8" t="s">
        <v>18</v>
      </c>
      <c r="C635" s="9" t="str">
        <f t="shared" si="44"/>
        <v>女</v>
      </c>
      <c r="D635" s="9" t="str">
        <f>"341223199707240741"</f>
        <v>341223199707240741</v>
      </c>
      <c r="E635" s="14" t="str">
        <f t="shared" si="43"/>
        <v>护理</v>
      </c>
      <c r="F635" s="9" t="str">
        <f>"2018011709"</f>
        <v>2018011709</v>
      </c>
      <c r="G635" s="9">
        <v>29</v>
      </c>
      <c r="H635" s="9">
        <v>69</v>
      </c>
      <c r="I635" s="9">
        <f t="shared" si="40"/>
        <v>57</v>
      </c>
      <c r="J635" s="9"/>
      <c r="K635" s="3">
        <v>17</v>
      </c>
      <c r="L635" s="3">
        <v>9</v>
      </c>
    </row>
    <row r="636" spans="1:12" ht="18.75" customHeight="1">
      <c r="A636" s="3" t="str">
        <f>"10522018030111202382839"</f>
        <v>10522018030111202382839</v>
      </c>
      <c r="B636" s="8" t="s">
        <v>18</v>
      </c>
      <c r="C636" s="9" t="str">
        <f t="shared" si="44"/>
        <v>女</v>
      </c>
      <c r="D636" s="9" t="str">
        <f>"341223199410242340"</f>
        <v>341223199410242340</v>
      </c>
      <c r="E636" s="14" t="str">
        <f t="shared" si="43"/>
        <v>护理</v>
      </c>
      <c r="F636" s="9" t="str">
        <f>"2018011416"</f>
        <v>2018011416</v>
      </c>
      <c r="G636" s="9">
        <v>30.5</v>
      </c>
      <c r="H636" s="9">
        <v>68</v>
      </c>
      <c r="I636" s="9">
        <f t="shared" si="40"/>
        <v>56.749999999999993</v>
      </c>
      <c r="J636" s="9"/>
      <c r="K636" s="3">
        <v>14</v>
      </c>
      <c r="L636" s="3">
        <v>16</v>
      </c>
    </row>
    <row r="637" spans="1:12" ht="18.75" customHeight="1">
      <c r="A637" s="3" t="str">
        <f>"10522018022811450282548"</f>
        <v>10522018022811450282548</v>
      </c>
      <c r="B637" s="8" t="s">
        <v>18</v>
      </c>
      <c r="C637" s="9" t="str">
        <f t="shared" si="44"/>
        <v>女</v>
      </c>
      <c r="D637" s="9" t="str">
        <f>"341223199406214523"</f>
        <v>341223199406214523</v>
      </c>
      <c r="E637" s="14" t="str">
        <f t="shared" si="43"/>
        <v>护理</v>
      </c>
      <c r="F637" s="9" t="str">
        <f>"2018011914"</f>
        <v>2018011914</v>
      </c>
      <c r="G637" s="9">
        <v>18</v>
      </c>
      <c r="H637" s="9">
        <v>73</v>
      </c>
      <c r="I637" s="9">
        <f t="shared" si="40"/>
        <v>56.499999999999993</v>
      </c>
      <c r="J637" s="9"/>
      <c r="K637" s="3">
        <v>19</v>
      </c>
      <c r="L637" s="3">
        <v>14</v>
      </c>
    </row>
    <row r="638" spans="1:12" ht="18.75" customHeight="1">
      <c r="A638" s="3" t="str">
        <f>"10522018022616263481954"</f>
        <v>10522018022616263481954</v>
      </c>
      <c r="B638" s="8" t="s">
        <v>18</v>
      </c>
      <c r="C638" s="9" t="str">
        <f t="shared" si="44"/>
        <v>女</v>
      </c>
      <c r="D638" s="9" t="str">
        <f>"230421199707043344"</f>
        <v>230421199707043344</v>
      </c>
      <c r="E638" s="14" t="str">
        <f t="shared" si="43"/>
        <v>护理</v>
      </c>
      <c r="F638" s="9" t="str">
        <f>"2018011226"</f>
        <v>2018011226</v>
      </c>
      <c r="G638" s="9">
        <v>31.5</v>
      </c>
      <c r="H638" s="9">
        <v>67</v>
      </c>
      <c r="I638" s="9">
        <f t="shared" si="40"/>
        <v>56.349999999999994</v>
      </c>
      <c r="J638" s="9"/>
      <c r="K638" s="3">
        <v>12</v>
      </c>
      <c r="L638" s="3">
        <v>26</v>
      </c>
    </row>
    <row r="639" spans="1:12" ht="18.75" customHeight="1">
      <c r="A639" s="3" t="str">
        <f>"10522018022611102381738"</f>
        <v>10522018022611102381738</v>
      </c>
      <c r="B639" s="8" t="s">
        <v>18</v>
      </c>
      <c r="C639" s="9" t="str">
        <f t="shared" si="44"/>
        <v>女</v>
      </c>
      <c r="D639" s="9" t="str">
        <f>"411425199406070920"</f>
        <v>411425199406070920</v>
      </c>
      <c r="E639" s="14" t="str">
        <f t="shared" si="43"/>
        <v>护理</v>
      </c>
      <c r="F639" s="9" t="str">
        <f>"2018011230"</f>
        <v>2018011230</v>
      </c>
      <c r="G639" s="9">
        <v>31</v>
      </c>
      <c r="H639" s="9">
        <v>67</v>
      </c>
      <c r="I639" s="9">
        <f t="shared" si="40"/>
        <v>56.199999999999996</v>
      </c>
      <c r="J639" s="9"/>
      <c r="K639" s="3">
        <v>12</v>
      </c>
      <c r="L639" s="3">
        <v>30</v>
      </c>
    </row>
    <row r="640" spans="1:12" ht="18.75" customHeight="1">
      <c r="A640" s="3" t="str">
        <f>"10522018022610101881655"</f>
        <v>10522018022610101881655</v>
      </c>
      <c r="B640" s="8" t="s">
        <v>18</v>
      </c>
      <c r="C640" s="9" t="str">
        <f t="shared" si="44"/>
        <v>女</v>
      </c>
      <c r="D640" s="9" t="str">
        <f>"341227199601263422"</f>
        <v>341227199601263422</v>
      </c>
      <c r="E640" s="14" t="str">
        <f>"护理专业"</f>
        <v>护理专业</v>
      </c>
      <c r="F640" s="9" t="str">
        <f>"2018011021"</f>
        <v>2018011021</v>
      </c>
      <c r="G640" s="9">
        <v>21.5</v>
      </c>
      <c r="H640" s="9">
        <v>71</v>
      </c>
      <c r="I640" s="9">
        <f t="shared" si="40"/>
        <v>56.15</v>
      </c>
      <c r="J640" s="9"/>
      <c r="K640" s="3">
        <v>10</v>
      </c>
      <c r="L640" s="3">
        <v>21</v>
      </c>
    </row>
    <row r="641" spans="1:12" ht="18.75" customHeight="1">
      <c r="A641" s="3" t="str">
        <f>"10522018022810390482517"</f>
        <v>10522018022810390482517</v>
      </c>
      <c r="B641" s="8" t="s">
        <v>18</v>
      </c>
      <c r="C641" s="9" t="str">
        <f t="shared" si="44"/>
        <v>女</v>
      </c>
      <c r="D641" s="9" t="str">
        <f>"341227199812062321"</f>
        <v>341227199812062321</v>
      </c>
      <c r="E641" s="14" t="str">
        <f t="shared" ref="E641:E657" si="45">"护理"</f>
        <v>护理</v>
      </c>
      <c r="F641" s="9" t="str">
        <f>"2018011025"</f>
        <v>2018011025</v>
      </c>
      <c r="G641" s="9">
        <v>42</v>
      </c>
      <c r="H641" s="9">
        <v>62</v>
      </c>
      <c r="I641" s="9">
        <f t="shared" si="40"/>
        <v>56</v>
      </c>
      <c r="J641" s="9"/>
      <c r="K641" s="3">
        <v>10</v>
      </c>
      <c r="L641" s="3">
        <v>25</v>
      </c>
    </row>
    <row r="642" spans="1:12" ht="18.75" customHeight="1">
      <c r="A642" s="3" t="str">
        <f>"10522018022711582182205"</f>
        <v>10522018022711582182205</v>
      </c>
      <c r="B642" s="8" t="s">
        <v>18</v>
      </c>
      <c r="C642" s="9" t="str">
        <f t="shared" si="44"/>
        <v>女</v>
      </c>
      <c r="D642" s="9" t="str">
        <f>"34128119961217778X"</f>
        <v>34128119961217778X</v>
      </c>
      <c r="E642" s="14" t="str">
        <f t="shared" si="45"/>
        <v>护理</v>
      </c>
      <c r="F642" s="9" t="str">
        <f>"2018011126"</f>
        <v>2018011126</v>
      </c>
      <c r="G642" s="9">
        <v>32.5</v>
      </c>
      <c r="H642" s="9">
        <v>66</v>
      </c>
      <c r="I642" s="9">
        <f t="shared" si="40"/>
        <v>55.949999999999996</v>
      </c>
      <c r="J642" s="9"/>
      <c r="K642" s="3">
        <v>11</v>
      </c>
      <c r="L642" s="3">
        <v>26</v>
      </c>
    </row>
    <row r="643" spans="1:12" ht="18.75" customHeight="1">
      <c r="A643" s="3" t="str">
        <f>"10522018030117435382974"</f>
        <v>10522018030117435382974</v>
      </c>
      <c r="B643" s="8" t="s">
        <v>18</v>
      </c>
      <c r="C643" s="9" t="str">
        <f t="shared" si="44"/>
        <v>女</v>
      </c>
      <c r="D643" s="9" t="str">
        <f>"341224199605045829"</f>
        <v>341224199605045829</v>
      </c>
      <c r="E643" s="14" t="str">
        <f t="shared" si="45"/>
        <v>护理</v>
      </c>
      <c r="F643" s="9" t="str">
        <f>"2018011220"</f>
        <v>2018011220</v>
      </c>
      <c r="G643" s="9">
        <v>27.5</v>
      </c>
      <c r="H643" s="9">
        <v>68</v>
      </c>
      <c r="I643" s="9">
        <f t="shared" ref="I643:I706" si="46">G643*0.3+H643*0.7</f>
        <v>55.849999999999994</v>
      </c>
      <c r="J643" s="9"/>
      <c r="K643" s="3">
        <v>12</v>
      </c>
      <c r="L643" s="3">
        <v>20</v>
      </c>
    </row>
    <row r="644" spans="1:12" ht="18.75" customHeight="1">
      <c r="A644" s="3" t="str">
        <f>"10522018022609031381565"</f>
        <v>10522018022609031381565</v>
      </c>
      <c r="B644" s="8" t="s">
        <v>18</v>
      </c>
      <c r="C644" s="9" t="str">
        <f t="shared" si="44"/>
        <v>女</v>
      </c>
      <c r="D644" s="9" t="str">
        <f>"341223199611060527"</f>
        <v>341223199611060527</v>
      </c>
      <c r="E644" s="14" t="str">
        <f t="shared" si="45"/>
        <v>护理</v>
      </c>
      <c r="F644" s="9" t="str">
        <f>"2018011219"</f>
        <v>2018011219</v>
      </c>
      <c r="G644" s="9">
        <v>33.5</v>
      </c>
      <c r="H644" s="9">
        <v>65</v>
      </c>
      <c r="I644" s="9">
        <f t="shared" si="46"/>
        <v>55.55</v>
      </c>
      <c r="J644" s="9"/>
      <c r="K644" s="3">
        <v>12</v>
      </c>
      <c r="L644" s="3">
        <v>19</v>
      </c>
    </row>
    <row r="645" spans="1:12" ht="18.75" customHeight="1">
      <c r="A645" s="3" t="str">
        <f>"10522018022817325782665"</f>
        <v>10522018022817325782665</v>
      </c>
      <c r="B645" s="8" t="s">
        <v>18</v>
      </c>
      <c r="C645" s="9" t="str">
        <f t="shared" si="44"/>
        <v>女</v>
      </c>
      <c r="D645" s="9" t="str">
        <f>"341223199505082749"</f>
        <v>341223199505082749</v>
      </c>
      <c r="E645" s="14" t="str">
        <f t="shared" si="45"/>
        <v>护理</v>
      </c>
      <c r="F645" s="9" t="str">
        <f>"2018012104"</f>
        <v>2018012104</v>
      </c>
      <c r="G645" s="9">
        <v>26.5</v>
      </c>
      <c r="H645" s="9">
        <v>68</v>
      </c>
      <c r="I645" s="9">
        <f t="shared" si="46"/>
        <v>55.55</v>
      </c>
      <c r="J645" s="9"/>
      <c r="K645" s="3">
        <v>21</v>
      </c>
      <c r="L645" s="3">
        <v>4</v>
      </c>
    </row>
    <row r="646" spans="1:12" ht="18.75" customHeight="1">
      <c r="A646" s="3" t="str">
        <f>"10522018022616521881966"</f>
        <v>10522018022616521881966</v>
      </c>
      <c r="B646" s="8" t="s">
        <v>18</v>
      </c>
      <c r="C646" s="9" t="str">
        <f t="shared" si="44"/>
        <v>女</v>
      </c>
      <c r="D646" s="9" t="str">
        <f>"341223199308010228"</f>
        <v>341223199308010228</v>
      </c>
      <c r="E646" s="14" t="str">
        <f t="shared" si="45"/>
        <v>护理</v>
      </c>
      <c r="F646" s="9" t="str">
        <f>"2018012208"</f>
        <v>2018012208</v>
      </c>
      <c r="G646" s="9">
        <v>24</v>
      </c>
      <c r="H646" s="9">
        <v>69</v>
      </c>
      <c r="I646" s="9">
        <f t="shared" si="46"/>
        <v>55.5</v>
      </c>
      <c r="J646" s="9"/>
      <c r="K646" s="3">
        <v>22</v>
      </c>
      <c r="L646" s="3">
        <v>8</v>
      </c>
    </row>
    <row r="647" spans="1:12" ht="18.75" customHeight="1">
      <c r="A647" s="3" t="str">
        <f>"10522018022708454882134"</f>
        <v>10522018022708454882134</v>
      </c>
      <c r="B647" s="8" t="s">
        <v>18</v>
      </c>
      <c r="C647" s="9" t="str">
        <f t="shared" si="44"/>
        <v>女</v>
      </c>
      <c r="D647" s="9" t="str">
        <f>"341223199508222129"</f>
        <v>341223199508222129</v>
      </c>
      <c r="E647" s="14" t="str">
        <f t="shared" si="45"/>
        <v>护理</v>
      </c>
      <c r="F647" s="9" t="str">
        <f>"2018011707"</f>
        <v>2018011707</v>
      </c>
      <c r="G647" s="9">
        <v>41</v>
      </c>
      <c r="H647" s="9">
        <v>61</v>
      </c>
      <c r="I647" s="9">
        <f t="shared" si="46"/>
        <v>54.999999999999993</v>
      </c>
      <c r="J647" s="9"/>
      <c r="K647" s="3">
        <v>17</v>
      </c>
      <c r="L647" s="3">
        <v>7</v>
      </c>
    </row>
    <row r="648" spans="1:12" ht="18.75" customHeight="1">
      <c r="A648" s="3" t="str">
        <f>"10522018022812033982554"</f>
        <v>10522018022812033982554</v>
      </c>
      <c r="B648" s="8" t="s">
        <v>18</v>
      </c>
      <c r="C648" s="9" t="str">
        <f t="shared" si="44"/>
        <v>女</v>
      </c>
      <c r="D648" s="9" t="str">
        <f>"341282199501170389"</f>
        <v>341282199501170389</v>
      </c>
      <c r="E648" s="14" t="str">
        <f t="shared" si="45"/>
        <v>护理</v>
      </c>
      <c r="F648" s="9" t="str">
        <f>"2018011430"</f>
        <v>2018011430</v>
      </c>
      <c r="G648" s="9">
        <v>26</v>
      </c>
      <c r="H648" s="9">
        <v>67</v>
      </c>
      <c r="I648" s="9">
        <f t="shared" si="46"/>
        <v>54.699999999999996</v>
      </c>
      <c r="J648" s="9"/>
      <c r="K648" s="3">
        <v>14</v>
      </c>
      <c r="L648" s="3">
        <v>30</v>
      </c>
    </row>
    <row r="649" spans="1:12" ht="18.75" customHeight="1">
      <c r="A649" s="3" t="str">
        <f>"10522018022621190082085"</f>
        <v>10522018022621190082085</v>
      </c>
      <c r="B649" s="8" t="s">
        <v>18</v>
      </c>
      <c r="C649" s="9" t="str">
        <f t="shared" si="44"/>
        <v>女</v>
      </c>
      <c r="D649" s="9" t="str">
        <f>"341227199708134428"</f>
        <v>341227199708134428</v>
      </c>
      <c r="E649" s="14" t="str">
        <f t="shared" si="45"/>
        <v>护理</v>
      </c>
      <c r="F649" s="9" t="str">
        <f>"2018011418"</f>
        <v>2018011418</v>
      </c>
      <c r="G649" s="9">
        <v>23</v>
      </c>
      <c r="H649" s="9">
        <v>68</v>
      </c>
      <c r="I649" s="9">
        <f t="shared" si="46"/>
        <v>54.499999999999993</v>
      </c>
      <c r="J649" s="9"/>
      <c r="K649" s="3">
        <v>14</v>
      </c>
      <c r="L649" s="3">
        <v>18</v>
      </c>
    </row>
    <row r="650" spans="1:12" ht="18.75" customHeight="1">
      <c r="A650" s="3" t="str">
        <f>"10522018022821194582743"</f>
        <v>10522018022821194582743</v>
      </c>
      <c r="B650" s="8" t="s">
        <v>18</v>
      </c>
      <c r="C650" s="9" t="str">
        <f t="shared" si="44"/>
        <v>女</v>
      </c>
      <c r="D650" s="9" t="str">
        <f>"341222199407205024"</f>
        <v>341222199407205024</v>
      </c>
      <c r="E650" s="14" t="str">
        <f t="shared" si="45"/>
        <v>护理</v>
      </c>
      <c r="F650" s="9" t="str">
        <f>"2018011821"</f>
        <v>2018011821</v>
      </c>
      <c r="G650" s="9">
        <v>23</v>
      </c>
      <c r="H650" s="9">
        <v>68</v>
      </c>
      <c r="I650" s="9">
        <f t="shared" si="46"/>
        <v>54.499999999999993</v>
      </c>
      <c r="J650" s="9"/>
      <c r="K650" s="3">
        <v>18</v>
      </c>
      <c r="L650" s="3">
        <v>21</v>
      </c>
    </row>
    <row r="651" spans="1:12" ht="18.75" customHeight="1">
      <c r="A651" s="3" t="str">
        <f>"10522018022821301582747"</f>
        <v>10522018022821301582747</v>
      </c>
      <c r="B651" s="8" t="s">
        <v>18</v>
      </c>
      <c r="C651" s="9" t="str">
        <f t="shared" ref="C651:C682" si="47">"女"</f>
        <v>女</v>
      </c>
      <c r="D651" s="9" t="str">
        <f>"341223199609060026"</f>
        <v>341223199609060026</v>
      </c>
      <c r="E651" s="14" t="str">
        <f t="shared" si="45"/>
        <v>护理</v>
      </c>
      <c r="F651" s="9" t="str">
        <f>"2018010707"</f>
        <v>2018010707</v>
      </c>
      <c r="G651" s="9">
        <v>47</v>
      </c>
      <c r="H651" s="9">
        <v>57</v>
      </c>
      <c r="I651" s="9">
        <f t="shared" si="46"/>
        <v>54</v>
      </c>
      <c r="J651" s="9"/>
      <c r="K651" s="3">
        <v>7</v>
      </c>
      <c r="L651" s="3">
        <v>7</v>
      </c>
    </row>
    <row r="652" spans="1:12" ht="18.75" customHeight="1">
      <c r="A652" s="3" t="str">
        <f>"10522018030121463483036"</f>
        <v>10522018030121463483036</v>
      </c>
      <c r="B652" s="8" t="s">
        <v>18</v>
      </c>
      <c r="C652" s="9" t="str">
        <f t="shared" si="47"/>
        <v>女</v>
      </c>
      <c r="D652" s="9" t="str">
        <f>"341623199501244829"</f>
        <v>341623199501244829</v>
      </c>
      <c r="E652" s="14" t="str">
        <f t="shared" si="45"/>
        <v>护理</v>
      </c>
      <c r="F652" s="9" t="str">
        <f>"2018010620"</f>
        <v>2018010620</v>
      </c>
      <c r="G652" s="9">
        <v>30</v>
      </c>
      <c r="H652" s="9">
        <v>64</v>
      </c>
      <c r="I652" s="9">
        <f t="shared" si="46"/>
        <v>53.8</v>
      </c>
      <c r="J652" s="9"/>
      <c r="K652" s="3">
        <v>6</v>
      </c>
      <c r="L652" s="3">
        <v>20</v>
      </c>
    </row>
    <row r="653" spans="1:12" ht="18.75" customHeight="1">
      <c r="A653" s="3" t="str">
        <f>"10522018030117011082966"</f>
        <v>10522018030117011082966</v>
      </c>
      <c r="B653" s="8" t="s">
        <v>18</v>
      </c>
      <c r="C653" s="9" t="str">
        <f t="shared" si="47"/>
        <v>女</v>
      </c>
      <c r="D653" s="9" t="str">
        <f>"341281199511036902"</f>
        <v>341281199511036902</v>
      </c>
      <c r="E653" s="14" t="str">
        <f t="shared" si="45"/>
        <v>护理</v>
      </c>
      <c r="F653" s="9" t="str">
        <f>"2018010820"</f>
        <v>2018010820</v>
      </c>
      <c r="G653" s="9">
        <v>31</v>
      </c>
      <c r="H653" s="9">
        <v>63</v>
      </c>
      <c r="I653" s="9">
        <f t="shared" si="46"/>
        <v>53.399999999999991</v>
      </c>
      <c r="J653" s="9"/>
      <c r="K653" s="3">
        <v>8</v>
      </c>
      <c r="L653" s="3">
        <v>20</v>
      </c>
    </row>
    <row r="654" spans="1:12" ht="18.75" customHeight="1">
      <c r="A654" s="3" t="str">
        <f>"10522018022619432482036"</f>
        <v>10522018022619432482036</v>
      </c>
      <c r="B654" s="8" t="s">
        <v>18</v>
      </c>
      <c r="C654" s="9" t="str">
        <f t="shared" si="47"/>
        <v>女</v>
      </c>
      <c r="D654" s="9" t="str">
        <f>"341621199403075125"</f>
        <v>341621199403075125</v>
      </c>
      <c r="E654" s="14" t="str">
        <f t="shared" si="45"/>
        <v>护理</v>
      </c>
      <c r="F654" s="9" t="str">
        <f>"2018011015"</f>
        <v>2018011015</v>
      </c>
      <c r="G654" s="9">
        <v>37</v>
      </c>
      <c r="H654" s="9">
        <v>60</v>
      </c>
      <c r="I654" s="9">
        <f t="shared" si="46"/>
        <v>53.1</v>
      </c>
      <c r="J654" s="9"/>
      <c r="K654" s="3">
        <v>10</v>
      </c>
      <c r="L654" s="3">
        <v>15</v>
      </c>
    </row>
    <row r="655" spans="1:12" ht="18.75" customHeight="1">
      <c r="A655" s="3" t="str">
        <f>"10522018022610504981715"</f>
        <v>10522018022610504981715</v>
      </c>
      <c r="B655" s="8" t="s">
        <v>18</v>
      </c>
      <c r="C655" s="9" t="str">
        <f t="shared" si="47"/>
        <v>女</v>
      </c>
      <c r="D655" s="9" t="str">
        <f>"341623199604052088"</f>
        <v>341623199604052088</v>
      </c>
      <c r="E655" s="14" t="str">
        <f t="shared" si="45"/>
        <v>护理</v>
      </c>
      <c r="F655" s="9" t="str">
        <f>"2018011203"</f>
        <v>2018011203</v>
      </c>
      <c r="G655" s="9">
        <v>30</v>
      </c>
      <c r="H655" s="9">
        <v>62</v>
      </c>
      <c r="I655" s="9">
        <f t="shared" si="46"/>
        <v>52.4</v>
      </c>
      <c r="J655" s="9"/>
      <c r="K655" s="3">
        <v>12</v>
      </c>
      <c r="L655" s="3">
        <v>3</v>
      </c>
    </row>
    <row r="656" spans="1:12" ht="18.75" customHeight="1">
      <c r="A656" s="3" t="str">
        <f>"10522018030115101382927"</f>
        <v>10522018030115101382927</v>
      </c>
      <c r="B656" s="8" t="s">
        <v>18</v>
      </c>
      <c r="C656" s="9" t="str">
        <f t="shared" si="47"/>
        <v>女</v>
      </c>
      <c r="D656" s="9" t="str">
        <f>"34122719931115202X"</f>
        <v>34122719931115202X</v>
      </c>
      <c r="E656" s="14" t="str">
        <f t="shared" si="45"/>
        <v>护理</v>
      </c>
      <c r="F656" s="9" t="str">
        <f>"2018010927"</f>
        <v>2018010927</v>
      </c>
      <c r="G656" s="9">
        <v>34</v>
      </c>
      <c r="H656" s="9">
        <v>57</v>
      </c>
      <c r="I656" s="9">
        <f t="shared" si="46"/>
        <v>50.099999999999994</v>
      </c>
      <c r="J656" s="9"/>
      <c r="K656" s="3">
        <v>9</v>
      </c>
      <c r="L656" s="3">
        <v>27</v>
      </c>
    </row>
    <row r="657" spans="1:12" ht="18.75" customHeight="1">
      <c r="A657" s="3" t="str">
        <f>"10522018022613244681843"</f>
        <v>10522018022613244681843</v>
      </c>
      <c r="B657" s="8" t="s">
        <v>18</v>
      </c>
      <c r="C657" s="9" t="str">
        <f t="shared" si="47"/>
        <v>女</v>
      </c>
      <c r="D657" s="9" t="str">
        <f>"341223199810200529"</f>
        <v>341223199810200529</v>
      </c>
      <c r="E657" s="14" t="str">
        <f t="shared" si="45"/>
        <v>护理</v>
      </c>
      <c r="F657" s="9" t="str">
        <f>"2018010630"</f>
        <v>2018010630</v>
      </c>
      <c r="G657" s="9">
        <v>26</v>
      </c>
      <c r="H657" s="9">
        <v>60</v>
      </c>
      <c r="I657" s="9">
        <f t="shared" si="46"/>
        <v>49.8</v>
      </c>
      <c r="J657" s="9"/>
      <c r="K657" s="3">
        <v>6</v>
      </c>
      <c r="L657" s="3">
        <v>30</v>
      </c>
    </row>
    <row r="658" spans="1:12" ht="18.75" customHeight="1">
      <c r="A658" s="3" t="str">
        <f>"10522018022609013981556"</f>
        <v>10522018022609013981556</v>
      </c>
      <c r="B658" s="8" t="s">
        <v>18</v>
      </c>
      <c r="C658" s="9" t="str">
        <f t="shared" si="47"/>
        <v>女</v>
      </c>
      <c r="D658" s="9" t="str">
        <f>"341223199612100041"</f>
        <v>341223199612100041</v>
      </c>
      <c r="E658" s="14" t="str">
        <f>"护理专业"</f>
        <v>护理专业</v>
      </c>
      <c r="F658" s="9" t="str">
        <f>"2018010610"</f>
        <v>2018010610</v>
      </c>
      <c r="G658" s="9">
        <v>34</v>
      </c>
      <c r="H658" s="9">
        <v>56</v>
      </c>
      <c r="I658" s="9">
        <f t="shared" si="46"/>
        <v>49.399999999999991</v>
      </c>
      <c r="J658" s="9"/>
      <c r="K658" s="3">
        <v>6</v>
      </c>
      <c r="L658" s="3">
        <v>10</v>
      </c>
    </row>
    <row r="659" spans="1:12" ht="18.75" customHeight="1">
      <c r="A659" s="3" t="str">
        <f>"10522018022613520081859"</f>
        <v>10522018022613520081859</v>
      </c>
      <c r="B659" s="8" t="s">
        <v>18</v>
      </c>
      <c r="C659" s="9" t="str">
        <f t="shared" si="47"/>
        <v>女</v>
      </c>
      <c r="D659" s="9" t="str">
        <f>"341623199703031522"</f>
        <v>341623199703031522</v>
      </c>
      <c r="E659" s="14" t="str">
        <f t="shared" ref="E659:E666" si="48">"护理"</f>
        <v>护理</v>
      </c>
      <c r="F659" s="9" t="str">
        <f>"2018011712"</f>
        <v>2018011712</v>
      </c>
      <c r="G659" s="9">
        <v>18.5</v>
      </c>
      <c r="H659" s="9">
        <v>62</v>
      </c>
      <c r="I659" s="9">
        <f t="shared" si="46"/>
        <v>48.949999999999996</v>
      </c>
      <c r="J659" s="9"/>
      <c r="K659" s="3">
        <v>17</v>
      </c>
      <c r="L659" s="3">
        <v>12</v>
      </c>
    </row>
    <row r="660" spans="1:12" ht="18.75" customHeight="1">
      <c r="A660" s="3" t="str">
        <f>"10522018030208382983071"</f>
        <v>10522018030208382983071</v>
      </c>
      <c r="B660" s="8" t="s">
        <v>18</v>
      </c>
      <c r="C660" s="9" t="str">
        <f t="shared" si="47"/>
        <v>女</v>
      </c>
      <c r="D660" s="9" t="str">
        <f>"341227199703100026"</f>
        <v>341227199703100026</v>
      </c>
      <c r="E660" s="14" t="str">
        <f t="shared" si="48"/>
        <v>护理</v>
      </c>
      <c r="F660" s="9" t="str">
        <f>"2018011827"</f>
        <v>2018011827</v>
      </c>
      <c r="G660" s="9">
        <v>37</v>
      </c>
      <c r="H660" s="9">
        <v>54</v>
      </c>
      <c r="I660" s="9">
        <f t="shared" si="46"/>
        <v>48.9</v>
      </c>
      <c r="J660" s="9"/>
      <c r="K660" s="3">
        <v>18</v>
      </c>
      <c r="L660" s="3">
        <v>27</v>
      </c>
    </row>
    <row r="661" spans="1:12" ht="18.75" customHeight="1">
      <c r="A661" s="3" t="str">
        <f>"10522018022714220582258"</f>
        <v>10522018022714220582258</v>
      </c>
      <c r="B661" s="8" t="s">
        <v>18</v>
      </c>
      <c r="C661" s="9" t="str">
        <f t="shared" si="47"/>
        <v>女</v>
      </c>
      <c r="D661" s="9" t="str">
        <f>"341223199705121925"</f>
        <v>341223199705121925</v>
      </c>
      <c r="E661" s="14" t="str">
        <f t="shared" si="48"/>
        <v>护理</v>
      </c>
      <c r="F661" s="9" t="str">
        <f>"2018011930"</f>
        <v>2018011930</v>
      </c>
      <c r="G661" s="9">
        <v>20.5</v>
      </c>
      <c r="H661" s="9">
        <v>61</v>
      </c>
      <c r="I661" s="9">
        <f t="shared" si="46"/>
        <v>48.849999999999994</v>
      </c>
      <c r="J661" s="9"/>
      <c r="K661" s="3">
        <v>19</v>
      </c>
      <c r="L661" s="3">
        <v>30</v>
      </c>
    </row>
    <row r="662" spans="1:12" ht="18.75" customHeight="1">
      <c r="A662" s="3" t="str">
        <f>"10522018030215280583183"</f>
        <v>10522018030215280583183</v>
      </c>
      <c r="B662" s="8" t="s">
        <v>18</v>
      </c>
      <c r="C662" s="9" t="str">
        <f t="shared" si="47"/>
        <v>女</v>
      </c>
      <c r="D662" s="9" t="str">
        <f>"341227199312013080"</f>
        <v>341227199312013080</v>
      </c>
      <c r="E662" s="14" t="str">
        <f t="shared" si="48"/>
        <v>护理</v>
      </c>
      <c r="F662" s="9" t="str">
        <f>"2018011711"</f>
        <v>2018011711</v>
      </c>
      <c r="G662" s="9">
        <v>39</v>
      </c>
      <c r="H662" s="9">
        <v>53</v>
      </c>
      <c r="I662" s="9">
        <f t="shared" si="46"/>
        <v>48.8</v>
      </c>
      <c r="J662" s="9"/>
      <c r="K662" s="3">
        <v>17</v>
      </c>
      <c r="L662" s="3">
        <v>11</v>
      </c>
    </row>
    <row r="663" spans="1:12" ht="18.75" customHeight="1">
      <c r="A663" s="3" t="str">
        <f>"10522018030211170383112"</f>
        <v>10522018030211170383112</v>
      </c>
      <c r="B663" s="8" t="s">
        <v>18</v>
      </c>
      <c r="C663" s="9" t="str">
        <f t="shared" si="47"/>
        <v>女</v>
      </c>
      <c r="D663" s="9" t="str">
        <f>"341623199605191020"</f>
        <v>341623199605191020</v>
      </c>
      <c r="E663" s="14" t="str">
        <f t="shared" si="48"/>
        <v>护理</v>
      </c>
      <c r="F663" s="9" t="str">
        <f>"2018010617"</f>
        <v>2018010617</v>
      </c>
      <c r="G663" s="9">
        <v>31</v>
      </c>
      <c r="H663" s="9">
        <v>56</v>
      </c>
      <c r="I663" s="9">
        <f t="shared" si="46"/>
        <v>48.499999999999993</v>
      </c>
      <c r="J663" s="9"/>
      <c r="K663" s="3">
        <v>6</v>
      </c>
      <c r="L663" s="3">
        <v>17</v>
      </c>
    </row>
    <row r="664" spans="1:12" ht="18.75" customHeight="1">
      <c r="A664" s="3" t="str">
        <f>"10522018030119310283004"</f>
        <v>10522018030119310283004</v>
      </c>
      <c r="B664" s="8" t="s">
        <v>18</v>
      </c>
      <c r="C664" s="9" t="str">
        <f t="shared" si="47"/>
        <v>女</v>
      </c>
      <c r="D664" s="9" t="str">
        <f>"341223199508152140"</f>
        <v>341223199508152140</v>
      </c>
      <c r="E664" s="14" t="str">
        <f t="shared" si="48"/>
        <v>护理</v>
      </c>
      <c r="F664" s="9" t="str">
        <f>"2018011111"</f>
        <v>2018011111</v>
      </c>
      <c r="G664" s="9">
        <v>20.5</v>
      </c>
      <c r="H664" s="9">
        <v>60</v>
      </c>
      <c r="I664" s="9">
        <f t="shared" si="46"/>
        <v>48.15</v>
      </c>
      <c r="J664" s="9"/>
      <c r="K664" s="3">
        <v>11</v>
      </c>
      <c r="L664" s="3">
        <v>11</v>
      </c>
    </row>
    <row r="665" spans="1:12" ht="18.75" customHeight="1">
      <c r="A665" s="3" t="str">
        <f>"10522018022708514682136"</f>
        <v>10522018022708514682136</v>
      </c>
      <c r="B665" s="8" t="s">
        <v>18</v>
      </c>
      <c r="C665" s="9" t="str">
        <f t="shared" si="47"/>
        <v>女</v>
      </c>
      <c r="D665" s="9" t="str">
        <f>"341223199611113529"</f>
        <v>341223199611113529</v>
      </c>
      <c r="E665" s="14" t="str">
        <f t="shared" si="48"/>
        <v>护理</v>
      </c>
      <c r="F665" s="9" t="str">
        <f>"2018010921"</f>
        <v>2018010921</v>
      </c>
      <c r="G665" s="9">
        <v>35.5</v>
      </c>
      <c r="H665" s="9">
        <v>53</v>
      </c>
      <c r="I665" s="9">
        <f t="shared" si="46"/>
        <v>47.749999999999993</v>
      </c>
      <c r="J665" s="9"/>
      <c r="K665" s="3">
        <v>9</v>
      </c>
      <c r="L665" s="3">
        <v>21</v>
      </c>
    </row>
    <row r="666" spans="1:12" ht="18.75" customHeight="1">
      <c r="A666" s="3" t="str">
        <f>"10522018022720451182404"</f>
        <v>10522018022720451182404</v>
      </c>
      <c r="B666" s="8" t="s">
        <v>18</v>
      </c>
      <c r="C666" s="9" t="str">
        <f t="shared" si="47"/>
        <v>女</v>
      </c>
      <c r="D666" s="9" t="str">
        <f>"341227199703088725"</f>
        <v>341227199703088725</v>
      </c>
      <c r="E666" s="14" t="str">
        <f t="shared" si="48"/>
        <v>护理</v>
      </c>
      <c r="F666" s="9" t="str">
        <f>"2018010708"</f>
        <v>2018010708</v>
      </c>
      <c r="G666" s="9">
        <v>19</v>
      </c>
      <c r="H666" s="9">
        <v>52</v>
      </c>
      <c r="I666" s="9">
        <f t="shared" si="46"/>
        <v>42.1</v>
      </c>
      <c r="J666" s="9"/>
      <c r="K666" s="3">
        <v>7</v>
      </c>
      <c r="L666" s="3">
        <v>8</v>
      </c>
    </row>
    <row r="667" spans="1:12" ht="18.75" customHeight="1">
      <c r="A667" s="3" t="str">
        <f>"10522018022609295681613"</f>
        <v>10522018022609295681613</v>
      </c>
      <c r="B667" s="8" t="s">
        <v>18</v>
      </c>
      <c r="C667" s="9" t="str">
        <f t="shared" si="47"/>
        <v>女</v>
      </c>
      <c r="D667" s="9" t="str">
        <f>"34162119980108254X"</f>
        <v>34162119980108254X</v>
      </c>
      <c r="E667" s="14" t="str">
        <f>"护理专业"</f>
        <v>护理专业</v>
      </c>
      <c r="F667" s="9" t="str">
        <f>"2018010918"</f>
        <v>2018010918</v>
      </c>
      <c r="G667" s="9">
        <v>39.5</v>
      </c>
      <c r="H667" s="9">
        <v>40</v>
      </c>
      <c r="I667" s="9">
        <f t="shared" si="46"/>
        <v>39.85</v>
      </c>
      <c r="J667" s="9"/>
      <c r="K667" s="3">
        <v>9</v>
      </c>
      <c r="L667" s="3">
        <v>18</v>
      </c>
    </row>
    <row r="668" spans="1:12" ht="18.75" customHeight="1">
      <c r="A668" s="3" t="str">
        <f>"10522018030214140183154"</f>
        <v>10522018030214140183154</v>
      </c>
      <c r="B668" s="8" t="s">
        <v>18</v>
      </c>
      <c r="C668" s="9" t="str">
        <f t="shared" si="47"/>
        <v>女</v>
      </c>
      <c r="D668" s="9" t="str">
        <f>"340621199601069040"</f>
        <v>340621199601069040</v>
      </c>
      <c r="E668" s="14" t="str">
        <f t="shared" ref="E668:E683" si="49">"护理"</f>
        <v>护理</v>
      </c>
      <c r="F668" s="9" t="str">
        <f>"2018010601"</f>
        <v>2018010601</v>
      </c>
      <c r="G668" s="9">
        <v>0</v>
      </c>
      <c r="H668" s="9">
        <v>0</v>
      </c>
      <c r="I668" s="9">
        <f t="shared" si="46"/>
        <v>0</v>
      </c>
      <c r="J668" s="10" t="s">
        <v>4</v>
      </c>
      <c r="K668" s="3">
        <v>6</v>
      </c>
      <c r="L668" s="3">
        <v>1</v>
      </c>
    </row>
    <row r="669" spans="1:12" ht="18.75" customHeight="1">
      <c r="A669" s="3" t="str">
        <f>"10522018030212301683130"</f>
        <v>10522018030212301683130</v>
      </c>
      <c r="B669" s="8" t="s">
        <v>18</v>
      </c>
      <c r="C669" s="9" t="str">
        <f t="shared" si="47"/>
        <v>女</v>
      </c>
      <c r="D669" s="9" t="str">
        <f>"341227199402214820"</f>
        <v>341227199402214820</v>
      </c>
      <c r="E669" s="14" t="str">
        <f t="shared" si="49"/>
        <v>护理</v>
      </c>
      <c r="F669" s="9" t="str">
        <f>"2018010602"</f>
        <v>2018010602</v>
      </c>
      <c r="G669" s="9">
        <v>0</v>
      </c>
      <c r="H669" s="9">
        <v>0</v>
      </c>
      <c r="I669" s="9">
        <f t="shared" si="46"/>
        <v>0</v>
      </c>
      <c r="J669" s="10" t="s">
        <v>4</v>
      </c>
      <c r="K669" s="3">
        <v>6</v>
      </c>
      <c r="L669" s="3">
        <v>2</v>
      </c>
    </row>
    <row r="670" spans="1:12" ht="18.75" customHeight="1">
      <c r="A670" s="3" t="str">
        <f>"10522018022817430382666"</f>
        <v>10522018022817430382666</v>
      </c>
      <c r="B670" s="8" t="s">
        <v>18</v>
      </c>
      <c r="C670" s="9" t="str">
        <f t="shared" si="47"/>
        <v>女</v>
      </c>
      <c r="D670" s="9" t="str">
        <f>"341281199604264621"</f>
        <v>341281199604264621</v>
      </c>
      <c r="E670" s="14" t="str">
        <f t="shared" si="49"/>
        <v>护理</v>
      </c>
      <c r="F670" s="9" t="str">
        <f>"2018010603"</f>
        <v>2018010603</v>
      </c>
      <c r="G670" s="9">
        <v>0</v>
      </c>
      <c r="H670" s="9">
        <v>0</v>
      </c>
      <c r="I670" s="9">
        <f t="shared" si="46"/>
        <v>0</v>
      </c>
      <c r="J670" s="10" t="s">
        <v>4</v>
      </c>
      <c r="K670" s="3">
        <v>6</v>
      </c>
      <c r="L670" s="3">
        <v>3</v>
      </c>
    </row>
    <row r="671" spans="1:12" ht="18.75" customHeight="1">
      <c r="A671" s="3" t="str">
        <f>"10522018030111310082846"</f>
        <v>10522018030111310082846</v>
      </c>
      <c r="B671" s="8" t="s">
        <v>18</v>
      </c>
      <c r="C671" s="9" t="str">
        <f t="shared" si="47"/>
        <v>女</v>
      </c>
      <c r="D671" s="9" t="str">
        <f>"340881199608231220"</f>
        <v>340881199608231220</v>
      </c>
      <c r="E671" s="14" t="str">
        <f t="shared" si="49"/>
        <v>护理</v>
      </c>
      <c r="F671" s="9" t="str">
        <f>"2018010609"</f>
        <v>2018010609</v>
      </c>
      <c r="G671" s="9">
        <v>0</v>
      </c>
      <c r="H671" s="9">
        <v>0</v>
      </c>
      <c r="I671" s="9">
        <f t="shared" si="46"/>
        <v>0</v>
      </c>
      <c r="J671" s="10" t="s">
        <v>4</v>
      </c>
      <c r="K671" s="3">
        <v>6</v>
      </c>
      <c r="L671" s="3">
        <v>9</v>
      </c>
    </row>
    <row r="672" spans="1:12" ht="18.75" customHeight="1">
      <c r="A672" s="3" t="str">
        <f>"10522018022714222082259"</f>
        <v>10522018022714222082259</v>
      </c>
      <c r="B672" s="8" t="s">
        <v>18</v>
      </c>
      <c r="C672" s="9" t="str">
        <f t="shared" si="47"/>
        <v>女</v>
      </c>
      <c r="D672" s="9" t="str">
        <f>"341221199403150445"</f>
        <v>341221199403150445</v>
      </c>
      <c r="E672" s="14" t="str">
        <f t="shared" si="49"/>
        <v>护理</v>
      </c>
      <c r="F672" s="9" t="str">
        <f>"2018010619"</f>
        <v>2018010619</v>
      </c>
      <c r="G672" s="9">
        <v>0</v>
      </c>
      <c r="H672" s="9">
        <v>0</v>
      </c>
      <c r="I672" s="9">
        <f t="shared" si="46"/>
        <v>0</v>
      </c>
      <c r="J672" s="10" t="s">
        <v>4</v>
      </c>
      <c r="K672" s="3">
        <v>6</v>
      </c>
      <c r="L672" s="3">
        <v>19</v>
      </c>
    </row>
    <row r="673" spans="1:12" ht="18.75" customHeight="1">
      <c r="A673" s="3" t="str">
        <f>"10522018030214545183170"</f>
        <v>10522018030214545183170</v>
      </c>
      <c r="B673" s="8" t="s">
        <v>18</v>
      </c>
      <c r="C673" s="9" t="str">
        <f t="shared" si="47"/>
        <v>女</v>
      </c>
      <c r="D673" s="9" t="str">
        <f>"341223199410110946"</f>
        <v>341223199410110946</v>
      </c>
      <c r="E673" s="14" t="str">
        <f t="shared" si="49"/>
        <v>护理</v>
      </c>
      <c r="F673" s="9" t="str">
        <f>"2018010723"</f>
        <v>2018010723</v>
      </c>
      <c r="G673" s="9">
        <v>0</v>
      </c>
      <c r="H673" s="9">
        <v>0</v>
      </c>
      <c r="I673" s="9">
        <f t="shared" si="46"/>
        <v>0</v>
      </c>
      <c r="J673" s="10" t="s">
        <v>4</v>
      </c>
      <c r="K673" s="3">
        <v>7</v>
      </c>
      <c r="L673" s="3">
        <v>23</v>
      </c>
    </row>
    <row r="674" spans="1:12" ht="18.75" customHeight="1">
      <c r="A674" s="3" t="str">
        <f>"10522018022812521182570"</f>
        <v>10522018022812521182570</v>
      </c>
      <c r="B674" s="8" t="s">
        <v>18</v>
      </c>
      <c r="C674" s="9" t="str">
        <f t="shared" si="47"/>
        <v>女</v>
      </c>
      <c r="D674" s="9" t="str">
        <f>"341621199611041528"</f>
        <v>341621199611041528</v>
      </c>
      <c r="E674" s="14" t="str">
        <f t="shared" si="49"/>
        <v>护理</v>
      </c>
      <c r="F674" s="9" t="str">
        <f>"2018010726"</f>
        <v>2018010726</v>
      </c>
      <c r="G674" s="9">
        <v>0</v>
      </c>
      <c r="H674" s="9">
        <v>0</v>
      </c>
      <c r="I674" s="9">
        <f t="shared" si="46"/>
        <v>0</v>
      </c>
      <c r="J674" s="10" t="s">
        <v>4</v>
      </c>
      <c r="K674" s="3">
        <v>7</v>
      </c>
      <c r="L674" s="3">
        <v>26</v>
      </c>
    </row>
    <row r="675" spans="1:12" ht="18.75" customHeight="1">
      <c r="A675" s="3" t="str">
        <f>"10522018030109442282811"</f>
        <v>10522018030109442282811</v>
      </c>
      <c r="B675" s="8" t="s">
        <v>18</v>
      </c>
      <c r="C675" s="9" t="str">
        <f t="shared" si="47"/>
        <v>女</v>
      </c>
      <c r="D675" s="9" t="str">
        <f>"341224199504107824"</f>
        <v>341224199504107824</v>
      </c>
      <c r="E675" s="14" t="str">
        <f t="shared" si="49"/>
        <v>护理</v>
      </c>
      <c r="F675" s="9" t="str">
        <f>"2018010803"</f>
        <v>2018010803</v>
      </c>
      <c r="G675" s="9">
        <v>0</v>
      </c>
      <c r="H675" s="9">
        <v>0</v>
      </c>
      <c r="I675" s="9">
        <f t="shared" si="46"/>
        <v>0</v>
      </c>
      <c r="J675" s="10" t="s">
        <v>4</v>
      </c>
      <c r="K675" s="3">
        <v>8</v>
      </c>
      <c r="L675" s="3">
        <v>3</v>
      </c>
    </row>
    <row r="676" spans="1:12" ht="18.75" customHeight="1">
      <c r="A676" s="3" t="str">
        <f>"10522018030115554282939"</f>
        <v>10522018030115554282939</v>
      </c>
      <c r="B676" s="8" t="s">
        <v>18</v>
      </c>
      <c r="C676" s="9" t="str">
        <f t="shared" si="47"/>
        <v>女</v>
      </c>
      <c r="D676" s="9" t="str">
        <f>"34122419950327492X"</f>
        <v>34122419950327492X</v>
      </c>
      <c r="E676" s="14" t="str">
        <f t="shared" si="49"/>
        <v>护理</v>
      </c>
      <c r="F676" s="9" t="str">
        <f>"2018010812"</f>
        <v>2018010812</v>
      </c>
      <c r="G676" s="9">
        <v>0</v>
      </c>
      <c r="H676" s="9">
        <v>0</v>
      </c>
      <c r="I676" s="9">
        <f t="shared" si="46"/>
        <v>0</v>
      </c>
      <c r="J676" s="10" t="s">
        <v>4</v>
      </c>
      <c r="K676" s="3">
        <v>8</v>
      </c>
      <c r="L676" s="3">
        <v>12</v>
      </c>
    </row>
    <row r="677" spans="1:12" ht="18.75" customHeight="1">
      <c r="A677" s="3" t="str">
        <f>"10522018022617291381986"</f>
        <v>10522018022617291381986</v>
      </c>
      <c r="B677" s="8" t="s">
        <v>18</v>
      </c>
      <c r="C677" s="9" t="str">
        <f t="shared" si="47"/>
        <v>女</v>
      </c>
      <c r="D677" s="9" t="str">
        <f>"341223199610021948"</f>
        <v>341223199610021948</v>
      </c>
      <c r="E677" s="14" t="str">
        <f t="shared" si="49"/>
        <v>护理</v>
      </c>
      <c r="F677" s="9" t="str">
        <f>"2018011012"</f>
        <v>2018011012</v>
      </c>
      <c r="G677" s="9">
        <v>0</v>
      </c>
      <c r="H677" s="9">
        <v>0</v>
      </c>
      <c r="I677" s="9">
        <f t="shared" si="46"/>
        <v>0</v>
      </c>
      <c r="J677" s="10" t="s">
        <v>4</v>
      </c>
      <c r="K677" s="3">
        <v>10</v>
      </c>
      <c r="L677" s="3">
        <v>12</v>
      </c>
    </row>
    <row r="678" spans="1:12" ht="18.75" customHeight="1">
      <c r="A678" s="3" t="str">
        <f>"10522018022617521381996"</f>
        <v>10522018022617521381996</v>
      </c>
      <c r="B678" s="8" t="s">
        <v>18</v>
      </c>
      <c r="C678" s="9" t="str">
        <f t="shared" si="47"/>
        <v>女</v>
      </c>
      <c r="D678" s="9" t="str">
        <f>"341621199708240048"</f>
        <v>341621199708240048</v>
      </c>
      <c r="E678" s="14" t="str">
        <f t="shared" si="49"/>
        <v>护理</v>
      </c>
      <c r="F678" s="9" t="str">
        <f>"2018011020"</f>
        <v>2018011020</v>
      </c>
      <c r="G678" s="9">
        <v>0</v>
      </c>
      <c r="H678" s="9">
        <v>0</v>
      </c>
      <c r="I678" s="9">
        <f t="shared" si="46"/>
        <v>0</v>
      </c>
      <c r="J678" s="10" t="s">
        <v>4</v>
      </c>
      <c r="K678" s="3">
        <v>10</v>
      </c>
      <c r="L678" s="3">
        <v>20</v>
      </c>
    </row>
    <row r="679" spans="1:12" ht="18.75" customHeight="1">
      <c r="A679" s="3" t="str">
        <f>"10522018022617001481971"</f>
        <v>10522018022617001481971</v>
      </c>
      <c r="B679" s="8" t="s">
        <v>18</v>
      </c>
      <c r="C679" s="9" t="str">
        <f t="shared" si="47"/>
        <v>女</v>
      </c>
      <c r="D679" s="9" t="str">
        <f>"341621199309034028"</f>
        <v>341621199309034028</v>
      </c>
      <c r="E679" s="14" t="str">
        <f t="shared" si="49"/>
        <v>护理</v>
      </c>
      <c r="F679" s="9" t="str">
        <f>"2018011112"</f>
        <v>2018011112</v>
      </c>
      <c r="G679" s="9">
        <v>0</v>
      </c>
      <c r="H679" s="9">
        <v>0</v>
      </c>
      <c r="I679" s="9">
        <f t="shared" si="46"/>
        <v>0</v>
      </c>
      <c r="J679" s="10" t="s">
        <v>4</v>
      </c>
      <c r="K679" s="3">
        <v>11</v>
      </c>
      <c r="L679" s="3">
        <v>12</v>
      </c>
    </row>
    <row r="680" spans="1:12" ht="18.75" customHeight="1">
      <c r="A680" s="3" t="str">
        <f>"10522018022815162182632"</f>
        <v>10522018022815162182632</v>
      </c>
      <c r="B680" s="8" t="s">
        <v>18</v>
      </c>
      <c r="C680" s="9" t="str">
        <f t="shared" si="47"/>
        <v>女</v>
      </c>
      <c r="D680" s="9" t="str">
        <f>"341227199702168344"</f>
        <v>341227199702168344</v>
      </c>
      <c r="E680" s="14" t="str">
        <f t="shared" si="49"/>
        <v>护理</v>
      </c>
      <c r="F680" s="9" t="str">
        <f>"2018011123"</f>
        <v>2018011123</v>
      </c>
      <c r="G680" s="9">
        <v>0</v>
      </c>
      <c r="H680" s="9">
        <v>0</v>
      </c>
      <c r="I680" s="9">
        <f t="shared" si="46"/>
        <v>0</v>
      </c>
      <c r="J680" s="10" t="s">
        <v>4</v>
      </c>
      <c r="K680" s="3">
        <v>11</v>
      </c>
      <c r="L680" s="3">
        <v>23</v>
      </c>
    </row>
    <row r="681" spans="1:12" ht="18.75" customHeight="1">
      <c r="A681" s="3" t="str">
        <f>"10522018030116442182962"</f>
        <v>10522018030116442182962</v>
      </c>
      <c r="B681" s="8" t="s">
        <v>18</v>
      </c>
      <c r="C681" s="9" t="str">
        <f t="shared" si="47"/>
        <v>女</v>
      </c>
      <c r="D681" s="9" t="str">
        <f>"341223199510282323"</f>
        <v>341223199510282323</v>
      </c>
      <c r="E681" s="14" t="str">
        <f t="shared" si="49"/>
        <v>护理</v>
      </c>
      <c r="F681" s="9" t="str">
        <f>"2018011207"</f>
        <v>2018011207</v>
      </c>
      <c r="G681" s="9">
        <v>0</v>
      </c>
      <c r="H681" s="9">
        <v>0</v>
      </c>
      <c r="I681" s="9">
        <f t="shared" si="46"/>
        <v>0</v>
      </c>
      <c r="J681" s="10" t="s">
        <v>4</v>
      </c>
      <c r="K681" s="3">
        <v>12</v>
      </c>
      <c r="L681" s="3">
        <v>7</v>
      </c>
    </row>
    <row r="682" spans="1:12" ht="18.75" customHeight="1">
      <c r="A682" s="3" t="str">
        <f>"10522018030210020883096"</f>
        <v>10522018030210020883096</v>
      </c>
      <c r="B682" s="8" t="s">
        <v>18</v>
      </c>
      <c r="C682" s="9" t="str">
        <f t="shared" si="47"/>
        <v>女</v>
      </c>
      <c r="D682" s="9" t="str">
        <f>"341227199401110042"</f>
        <v>341227199401110042</v>
      </c>
      <c r="E682" s="14" t="str">
        <f t="shared" si="49"/>
        <v>护理</v>
      </c>
      <c r="F682" s="9" t="str">
        <f>"2018011208"</f>
        <v>2018011208</v>
      </c>
      <c r="G682" s="9">
        <v>0</v>
      </c>
      <c r="H682" s="9">
        <v>0</v>
      </c>
      <c r="I682" s="9">
        <f t="shared" si="46"/>
        <v>0</v>
      </c>
      <c r="J682" s="10" t="s">
        <v>4</v>
      </c>
      <c r="K682" s="3">
        <v>12</v>
      </c>
      <c r="L682" s="3">
        <v>8</v>
      </c>
    </row>
    <row r="683" spans="1:12" ht="18.75" customHeight="1">
      <c r="A683" s="3" t="str">
        <f>"10522018030212523383135"</f>
        <v>10522018030212523383135</v>
      </c>
      <c r="B683" s="8" t="s">
        <v>18</v>
      </c>
      <c r="C683" s="9" t="str">
        <f t="shared" ref="C683:C706" si="50">"女"</f>
        <v>女</v>
      </c>
      <c r="D683" s="9" t="str">
        <f>"341223199512102322"</f>
        <v>341223199512102322</v>
      </c>
      <c r="E683" s="14" t="str">
        <f t="shared" si="49"/>
        <v>护理</v>
      </c>
      <c r="F683" s="9" t="str">
        <f>"2018011209"</f>
        <v>2018011209</v>
      </c>
      <c r="G683" s="9">
        <v>0</v>
      </c>
      <c r="H683" s="9">
        <v>0</v>
      </c>
      <c r="I683" s="9">
        <f t="shared" si="46"/>
        <v>0</v>
      </c>
      <c r="J683" s="10" t="s">
        <v>4</v>
      </c>
      <c r="K683" s="3">
        <v>12</v>
      </c>
      <c r="L683" s="3">
        <v>9</v>
      </c>
    </row>
    <row r="684" spans="1:12" ht="18.75" customHeight="1">
      <c r="A684" s="3" t="str">
        <f>"10522018030123303883051"</f>
        <v>10522018030123303883051</v>
      </c>
      <c r="B684" s="8" t="s">
        <v>18</v>
      </c>
      <c r="C684" s="9" t="str">
        <f t="shared" si="50"/>
        <v>女</v>
      </c>
      <c r="D684" s="9" t="str">
        <f>"341221199502181060"</f>
        <v>341221199502181060</v>
      </c>
      <c r="E684" s="14" t="str">
        <f>"护理专业"</f>
        <v>护理专业</v>
      </c>
      <c r="F684" s="9" t="str">
        <f>"2018011221"</f>
        <v>2018011221</v>
      </c>
      <c r="G684" s="9">
        <v>0</v>
      </c>
      <c r="H684" s="9">
        <v>0</v>
      </c>
      <c r="I684" s="9">
        <f t="shared" si="46"/>
        <v>0</v>
      </c>
      <c r="J684" s="10" t="s">
        <v>4</v>
      </c>
      <c r="K684" s="3">
        <v>12</v>
      </c>
      <c r="L684" s="3">
        <v>21</v>
      </c>
    </row>
    <row r="685" spans="1:12" ht="18.75" customHeight="1">
      <c r="A685" s="3" t="str">
        <f>"10522018022609022581559"</f>
        <v>10522018022609022581559</v>
      </c>
      <c r="B685" s="8" t="s">
        <v>18</v>
      </c>
      <c r="C685" s="9" t="str">
        <f t="shared" si="50"/>
        <v>女</v>
      </c>
      <c r="D685" s="9" t="str">
        <f>"341282199303040364"</f>
        <v>341282199303040364</v>
      </c>
      <c r="E685" s="14" t="str">
        <f t="shared" ref="E685:E706" si="51">"护理"</f>
        <v>护理</v>
      </c>
      <c r="F685" s="9" t="str">
        <f>"2018011302"</f>
        <v>2018011302</v>
      </c>
      <c r="G685" s="9">
        <v>0</v>
      </c>
      <c r="H685" s="9">
        <v>0</v>
      </c>
      <c r="I685" s="9">
        <f t="shared" si="46"/>
        <v>0</v>
      </c>
      <c r="J685" s="10" t="s">
        <v>4</v>
      </c>
      <c r="K685" s="3">
        <v>13</v>
      </c>
      <c r="L685" s="3">
        <v>2</v>
      </c>
    </row>
    <row r="686" spans="1:12" ht="18.75" customHeight="1">
      <c r="A686" s="3" t="str">
        <f>"10522018030214160783155"</f>
        <v>10522018030214160783155</v>
      </c>
      <c r="B686" s="8" t="s">
        <v>18</v>
      </c>
      <c r="C686" s="9" t="str">
        <f t="shared" si="50"/>
        <v>女</v>
      </c>
      <c r="D686" s="9" t="str">
        <f>"34128119930314348X"</f>
        <v>34128119930314348X</v>
      </c>
      <c r="E686" s="14" t="str">
        <f t="shared" si="51"/>
        <v>护理</v>
      </c>
      <c r="F686" s="9" t="str">
        <f>"2018011402"</f>
        <v>2018011402</v>
      </c>
      <c r="G686" s="9">
        <v>0</v>
      </c>
      <c r="H686" s="9">
        <v>0</v>
      </c>
      <c r="I686" s="9">
        <f t="shared" si="46"/>
        <v>0</v>
      </c>
      <c r="J686" s="10" t="s">
        <v>4</v>
      </c>
      <c r="K686" s="3">
        <v>14</v>
      </c>
      <c r="L686" s="3">
        <v>2</v>
      </c>
    </row>
    <row r="687" spans="1:12" ht="18.75" customHeight="1">
      <c r="A687" s="3" t="str">
        <f>"10522018022714040882249"</f>
        <v>10522018022714040882249</v>
      </c>
      <c r="B687" s="8" t="s">
        <v>18</v>
      </c>
      <c r="C687" s="9" t="str">
        <f t="shared" si="50"/>
        <v>女</v>
      </c>
      <c r="D687" s="9" t="str">
        <f>"341281199409098146"</f>
        <v>341281199409098146</v>
      </c>
      <c r="E687" s="14" t="str">
        <f t="shared" si="51"/>
        <v>护理</v>
      </c>
      <c r="F687" s="9" t="str">
        <f>"2018011409"</f>
        <v>2018011409</v>
      </c>
      <c r="G687" s="9">
        <v>0</v>
      </c>
      <c r="H687" s="9">
        <v>0</v>
      </c>
      <c r="I687" s="9">
        <f t="shared" si="46"/>
        <v>0</v>
      </c>
      <c r="J687" s="10" t="s">
        <v>4</v>
      </c>
      <c r="K687" s="3">
        <v>14</v>
      </c>
      <c r="L687" s="3">
        <v>9</v>
      </c>
    </row>
    <row r="688" spans="1:12" ht="18.75" customHeight="1">
      <c r="A688" s="3" t="str">
        <f>"10522018022713164082231"</f>
        <v>10522018022713164082231</v>
      </c>
      <c r="B688" s="8" t="s">
        <v>18</v>
      </c>
      <c r="C688" s="9" t="str">
        <f t="shared" si="50"/>
        <v>女</v>
      </c>
      <c r="D688" s="9" t="str">
        <f>"341602199505128989"</f>
        <v>341602199505128989</v>
      </c>
      <c r="E688" s="14" t="str">
        <f t="shared" si="51"/>
        <v>护理</v>
      </c>
      <c r="F688" s="9" t="str">
        <f>"2018011422"</f>
        <v>2018011422</v>
      </c>
      <c r="G688" s="9">
        <v>0</v>
      </c>
      <c r="H688" s="9">
        <v>0</v>
      </c>
      <c r="I688" s="9">
        <f t="shared" si="46"/>
        <v>0</v>
      </c>
      <c r="J688" s="10" t="s">
        <v>4</v>
      </c>
      <c r="K688" s="3">
        <v>14</v>
      </c>
      <c r="L688" s="3">
        <v>22</v>
      </c>
    </row>
    <row r="689" spans="1:12" ht="18.75" customHeight="1">
      <c r="A689" s="3" t="str">
        <f>"10522018022814055082608"</f>
        <v>10522018022814055082608</v>
      </c>
      <c r="B689" s="8" t="s">
        <v>18</v>
      </c>
      <c r="C689" s="9" t="str">
        <f t="shared" si="50"/>
        <v>女</v>
      </c>
      <c r="D689" s="9" t="str">
        <f>"341226199312084042"</f>
        <v>341226199312084042</v>
      </c>
      <c r="E689" s="14" t="str">
        <f t="shared" si="51"/>
        <v>护理</v>
      </c>
      <c r="F689" s="9" t="str">
        <f>"2018011429"</f>
        <v>2018011429</v>
      </c>
      <c r="G689" s="9">
        <v>0</v>
      </c>
      <c r="H689" s="9">
        <v>0</v>
      </c>
      <c r="I689" s="9">
        <f t="shared" si="46"/>
        <v>0</v>
      </c>
      <c r="J689" s="10" t="s">
        <v>4</v>
      </c>
      <c r="K689" s="3">
        <v>14</v>
      </c>
      <c r="L689" s="3">
        <v>29</v>
      </c>
    </row>
    <row r="690" spans="1:12" ht="18.75" customHeight="1">
      <c r="A690" s="3" t="str">
        <f>"10522018030115063982926"</f>
        <v>10522018030115063982926</v>
      </c>
      <c r="B690" s="8" t="s">
        <v>18</v>
      </c>
      <c r="C690" s="9" t="str">
        <f t="shared" si="50"/>
        <v>女</v>
      </c>
      <c r="D690" s="9" t="str">
        <f>"341623199806070022"</f>
        <v>341623199806070022</v>
      </c>
      <c r="E690" s="14" t="str">
        <f t="shared" si="51"/>
        <v>护理</v>
      </c>
      <c r="F690" s="9" t="str">
        <f>"2018011512"</f>
        <v>2018011512</v>
      </c>
      <c r="G690" s="9">
        <v>0</v>
      </c>
      <c r="H690" s="9">
        <v>0</v>
      </c>
      <c r="I690" s="9">
        <f t="shared" si="46"/>
        <v>0</v>
      </c>
      <c r="J690" s="10" t="s">
        <v>4</v>
      </c>
      <c r="K690" s="3">
        <v>15</v>
      </c>
      <c r="L690" s="3">
        <v>12</v>
      </c>
    </row>
    <row r="691" spans="1:12" ht="18.75" customHeight="1">
      <c r="A691" s="3" t="str">
        <f>"10522018022810282282512"</f>
        <v>10522018022810282282512</v>
      </c>
      <c r="B691" s="8" t="s">
        <v>18</v>
      </c>
      <c r="C691" s="9" t="str">
        <f t="shared" si="50"/>
        <v>女</v>
      </c>
      <c r="D691" s="9" t="str">
        <f>"341602199301014621"</f>
        <v>341602199301014621</v>
      </c>
      <c r="E691" s="14" t="str">
        <f t="shared" si="51"/>
        <v>护理</v>
      </c>
      <c r="F691" s="9" t="str">
        <f>"2018011515"</f>
        <v>2018011515</v>
      </c>
      <c r="G691" s="9">
        <v>0</v>
      </c>
      <c r="H691" s="9">
        <v>0</v>
      </c>
      <c r="I691" s="9">
        <f t="shared" si="46"/>
        <v>0</v>
      </c>
      <c r="J691" s="10" t="s">
        <v>4</v>
      </c>
      <c r="K691" s="3">
        <v>15</v>
      </c>
      <c r="L691" s="3">
        <v>15</v>
      </c>
    </row>
    <row r="692" spans="1:12" ht="18.75" customHeight="1">
      <c r="A692" s="3" t="str">
        <f>"10522018030114093482908"</f>
        <v>10522018030114093482908</v>
      </c>
      <c r="B692" s="8" t="s">
        <v>18</v>
      </c>
      <c r="C692" s="9" t="str">
        <f t="shared" si="50"/>
        <v>女</v>
      </c>
      <c r="D692" s="9" t="str">
        <f>"341621199402162120"</f>
        <v>341621199402162120</v>
      </c>
      <c r="E692" s="14" t="str">
        <f t="shared" si="51"/>
        <v>护理</v>
      </c>
      <c r="F692" s="9" t="str">
        <f>"2018011627"</f>
        <v>2018011627</v>
      </c>
      <c r="G692" s="9">
        <v>0</v>
      </c>
      <c r="H692" s="9">
        <v>0</v>
      </c>
      <c r="I692" s="9">
        <f t="shared" si="46"/>
        <v>0</v>
      </c>
      <c r="J692" s="10" t="s">
        <v>4</v>
      </c>
      <c r="K692" s="3">
        <v>16</v>
      </c>
      <c r="L692" s="3">
        <v>27</v>
      </c>
    </row>
    <row r="693" spans="1:12" ht="18.75" customHeight="1">
      <c r="A693" s="3" t="str">
        <f>"10522018022615303181919"</f>
        <v>10522018022615303181919</v>
      </c>
      <c r="B693" s="8" t="s">
        <v>18</v>
      </c>
      <c r="C693" s="9" t="str">
        <f t="shared" si="50"/>
        <v>女</v>
      </c>
      <c r="D693" s="9" t="str">
        <f>"341202199407013561"</f>
        <v>341202199407013561</v>
      </c>
      <c r="E693" s="14" t="str">
        <f t="shared" si="51"/>
        <v>护理</v>
      </c>
      <c r="F693" s="9" t="str">
        <f>"2018011912"</f>
        <v>2018011912</v>
      </c>
      <c r="G693" s="9">
        <v>0</v>
      </c>
      <c r="H693" s="9">
        <v>0</v>
      </c>
      <c r="I693" s="9">
        <f t="shared" si="46"/>
        <v>0</v>
      </c>
      <c r="J693" s="10" t="s">
        <v>4</v>
      </c>
      <c r="K693" s="3">
        <v>19</v>
      </c>
      <c r="L693" s="3">
        <v>12</v>
      </c>
    </row>
    <row r="694" spans="1:12" ht="18.75" customHeight="1">
      <c r="A694" s="3" t="str">
        <f>"10522018022615055881905"</f>
        <v>10522018022615055881905</v>
      </c>
      <c r="B694" s="8" t="s">
        <v>18</v>
      </c>
      <c r="C694" s="9" t="str">
        <f t="shared" si="50"/>
        <v>女</v>
      </c>
      <c r="D694" s="9" t="str">
        <f>"341223199608241327"</f>
        <v>341223199608241327</v>
      </c>
      <c r="E694" s="14" t="str">
        <f t="shared" si="51"/>
        <v>护理</v>
      </c>
      <c r="F694" s="9" t="str">
        <f>"2018011926"</f>
        <v>2018011926</v>
      </c>
      <c r="G694" s="9">
        <v>0</v>
      </c>
      <c r="H694" s="9">
        <v>0</v>
      </c>
      <c r="I694" s="9">
        <f t="shared" si="46"/>
        <v>0</v>
      </c>
      <c r="J694" s="10" t="s">
        <v>4</v>
      </c>
      <c r="K694" s="3">
        <v>19</v>
      </c>
      <c r="L694" s="3">
        <v>26</v>
      </c>
    </row>
    <row r="695" spans="1:12" ht="18.75" customHeight="1">
      <c r="A695" s="3" t="str">
        <f>"10522018022614472581894"</f>
        <v>10522018022614472581894</v>
      </c>
      <c r="B695" s="8" t="s">
        <v>18</v>
      </c>
      <c r="C695" s="9" t="str">
        <f t="shared" si="50"/>
        <v>女</v>
      </c>
      <c r="D695" s="9" t="str">
        <f>"341224199607254923"</f>
        <v>341224199607254923</v>
      </c>
      <c r="E695" s="14" t="str">
        <f t="shared" si="51"/>
        <v>护理</v>
      </c>
      <c r="F695" s="9" t="str">
        <f>"2018011929"</f>
        <v>2018011929</v>
      </c>
      <c r="G695" s="9">
        <v>0</v>
      </c>
      <c r="H695" s="9">
        <v>0</v>
      </c>
      <c r="I695" s="9">
        <f t="shared" si="46"/>
        <v>0</v>
      </c>
      <c r="J695" s="10" t="s">
        <v>4</v>
      </c>
      <c r="K695" s="3">
        <v>19</v>
      </c>
      <c r="L695" s="3">
        <v>29</v>
      </c>
    </row>
    <row r="696" spans="1:12" ht="18.75" customHeight="1">
      <c r="A696" s="3" t="str">
        <f>"10522018022813322482592"</f>
        <v>10522018022813322482592</v>
      </c>
      <c r="B696" s="8" t="s">
        <v>18</v>
      </c>
      <c r="C696" s="9" t="str">
        <f t="shared" si="50"/>
        <v>女</v>
      </c>
      <c r="D696" s="9" t="str">
        <f>"342422199403033589"</f>
        <v>342422199403033589</v>
      </c>
      <c r="E696" s="14" t="str">
        <f t="shared" si="51"/>
        <v>护理</v>
      </c>
      <c r="F696" s="9" t="str">
        <f>"2018012002"</f>
        <v>2018012002</v>
      </c>
      <c r="G696" s="9">
        <v>0</v>
      </c>
      <c r="H696" s="9">
        <v>0</v>
      </c>
      <c r="I696" s="9">
        <f t="shared" si="46"/>
        <v>0</v>
      </c>
      <c r="J696" s="10" t="s">
        <v>4</v>
      </c>
      <c r="K696" s="3">
        <v>20</v>
      </c>
      <c r="L696" s="3">
        <v>2</v>
      </c>
    </row>
    <row r="697" spans="1:12" ht="18.75" customHeight="1">
      <c r="A697" s="3" t="str">
        <f>"10522018022709210382140"</f>
        <v>10522018022709210382140</v>
      </c>
      <c r="B697" s="8" t="s">
        <v>18</v>
      </c>
      <c r="C697" s="9" t="str">
        <f t="shared" si="50"/>
        <v>女</v>
      </c>
      <c r="D697" s="9" t="str">
        <f>"341622199407222328"</f>
        <v>341622199407222328</v>
      </c>
      <c r="E697" s="14" t="str">
        <f t="shared" si="51"/>
        <v>护理</v>
      </c>
      <c r="F697" s="9" t="str">
        <f>"2018012012"</f>
        <v>2018012012</v>
      </c>
      <c r="G697" s="9">
        <v>0</v>
      </c>
      <c r="H697" s="9">
        <v>0</v>
      </c>
      <c r="I697" s="9">
        <f t="shared" si="46"/>
        <v>0</v>
      </c>
      <c r="J697" s="10" t="s">
        <v>4</v>
      </c>
      <c r="K697" s="3">
        <v>20</v>
      </c>
      <c r="L697" s="3">
        <v>12</v>
      </c>
    </row>
    <row r="698" spans="1:12" ht="18.75" customHeight="1">
      <c r="A698" s="3" t="str">
        <f>"10522018022618303182011"</f>
        <v>10522018022618303182011</v>
      </c>
      <c r="B698" s="8" t="s">
        <v>18</v>
      </c>
      <c r="C698" s="9" t="str">
        <f t="shared" si="50"/>
        <v>女</v>
      </c>
      <c r="D698" s="9" t="str">
        <f>"341281199603026904"</f>
        <v>341281199603026904</v>
      </c>
      <c r="E698" s="14" t="str">
        <f t="shared" si="51"/>
        <v>护理</v>
      </c>
      <c r="F698" s="9" t="str">
        <f>"2018012026"</f>
        <v>2018012026</v>
      </c>
      <c r="G698" s="9">
        <v>0</v>
      </c>
      <c r="H698" s="9">
        <v>0</v>
      </c>
      <c r="I698" s="9">
        <f t="shared" si="46"/>
        <v>0</v>
      </c>
      <c r="J698" s="10" t="s">
        <v>4</v>
      </c>
      <c r="K698" s="3">
        <v>20</v>
      </c>
      <c r="L698" s="3">
        <v>26</v>
      </c>
    </row>
    <row r="699" spans="1:12" ht="18.75" customHeight="1">
      <c r="A699" s="3" t="str">
        <f>"10522018022621503482099"</f>
        <v>10522018022621503482099</v>
      </c>
      <c r="B699" s="8" t="s">
        <v>18</v>
      </c>
      <c r="C699" s="9" t="str">
        <f t="shared" si="50"/>
        <v>女</v>
      </c>
      <c r="D699" s="9" t="str">
        <f>"341226199705062725"</f>
        <v>341226199705062725</v>
      </c>
      <c r="E699" s="14" t="str">
        <f t="shared" si="51"/>
        <v>护理</v>
      </c>
      <c r="F699" s="9" t="str">
        <f>"2018012029"</f>
        <v>2018012029</v>
      </c>
      <c r="G699" s="9">
        <v>0</v>
      </c>
      <c r="H699" s="9">
        <v>0</v>
      </c>
      <c r="I699" s="9">
        <f t="shared" si="46"/>
        <v>0</v>
      </c>
      <c r="J699" s="10" t="s">
        <v>4</v>
      </c>
      <c r="K699" s="3">
        <v>20</v>
      </c>
      <c r="L699" s="3">
        <v>29</v>
      </c>
    </row>
    <row r="700" spans="1:12" ht="18.75" customHeight="1">
      <c r="A700" s="3" t="str">
        <f>"10522018030210592083106"</f>
        <v>10522018030210592083106</v>
      </c>
      <c r="B700" s="8" t="s">
        <v>18</v>
      </c>
      <c r="C700" s="9" t="str">
        <f t="shared" si="50"/>
        <v>女</v>
      </c>
      <c r="D700" s="9" t="str">
        <f>"342626199310125624"</f>
        <v>342626199310125624</v>
      </c>
      <c r="E700" s="14" t="str">
        <f t="shared" si="51"/>
        <v>护理</v>
      </c>
      <c r="F700" s="9" t="str">
        <f>"2018012112"</f>
        <v>2018012112</v>
      </c>
      <c r="G700" s="9">
        <v>0</v>
      </c>
      <c r="H700" s="9">
        <v>0</v>
      </c>
      <c r="I700" s="9">
        <f t="shared" si="46"/>
        <v>0</v>
      </c>
      <c r="J700" s="10" t="s">
        <v>4</v>
      </c>
      <c r="K700" s="3">
        <v>21</v>
      </c>
      <c r="L700" s="3">
        <v>12</v>
      </c>
    </row>
    <row r="701" spans="1:12" ht="18.75" customHeight="1">
      <c r="A701" s="3" t="str">
        <f>"10522018030113110182886"</f>
        <v>10522018030113110182886</v>
      </c>
      <c r="B701" s="8" t="s">
        <v>18</v>
      </c>
      <c r="C701" s="9" t="str">
        <f t="shared" si="50"/>
        <v>女</v>
      </c>
      <c r="D701" s="9" t="str">
        <f>"341224199412133048"</f>
        <v>341224199412133048</v>
      </c>
      <c r="E701" s="14" t="str">
        <f t="shared" si="51"/>
        <v>护理</v>
      </c>
      <c r="F701" s="9" t="str">
        <f>"2018012114"</f>
        <v>2018012114</v>
      </c>
      <c r="G701" s="9">
        <v>0</v>
      </c>
      <c r="H701" s="9">
        <v>0</v>
      </c>
      <c r="I701" s="9">
        <f t="shared" si="46"/>
        <v>0</v>
      </c>
      <c r="J701" s="10" t="s">
        <v>4</v>
      </c>
      <c r="K701" s="3">
        <v>21</v>
      </c>
      <c r="L701" s="3">
        <v>14</v>
      </c>
    </row>
    <row r="702" spans="1:12" ht="18.75" customHeight="1">
      <c r="A702" s="3" t="str">
        <f>"10522018030109274882808"</f>
        <v>10522018030109274882808</v>
      </c>
      <c r="B702" s="8" t="s">
        <v>18</v>
      </c>
      <c r="C702" s="9" t="str">
        <f t="shared" si="50"/>
        <v>女</v>
      </c>
      <c r="D702" s="9" t="str">
        <f>"341227199704306122"</f>
        <v>341227199704306122</v>
      </c>
      <c r="E702" s="14" t="str">
        <f t="shared" si="51"/>
        <v>护理</v>
      </c>
      <c r="F702" s="9" t="str">
        <f>"2018012118"</f>
        <v>2018012118</v>
      </c>
      <c r="G702" s="9">
        <v>0</v>
      </c>
      <c r="H702" s="9">
        <v>0</v>
      </c>
      <c r="I702" s="9">
        <f t="shared" si="46"/>
        <v>0</v>
      </c>
      <c r="J702" s="10" t="s">
        <v>4</v>
      </c>
      <c r="K702" s="3">
        <v>21</v>
      </c>
      <c r="L702" s="3">
        <v>18</v>
      </c>
    </row>
    <row r="703" spans="1:12" ht="18.75" customHeight="1">
      <c r="A703" s="3" t="str">
        <f>"10522018022609523781635"</f>
        <v>10522018022609523781635</v>
      </c>
      <c r="B703" s="8" t="s">
        <v>18</v>
      </c>
      <c r="C703" s="9" t="str">
        <f t="shared" si="50"/>
        <v>女</v>
      </c>
      <c r="D703" s="9" t="str">
        <f>"341227199602039043"</f>
        <v>341227199602039043</v>
      </c>
      <c r="E703" s="14" t="str">
        <f t="shared" si="51"/>
        <v>护理</v>
      </c>
      <c r="F703" s="9" t="str">
        <f>"2018012128"</f>
        <v>2018012128</v>
      </c>
      <c r="G703" s="9">
        <v>0</v>
      </c>
      <c r="H703" s="9">
        <v>0</v>
      </c>
      <c r="I703" s="9">
        <f t="shared" si="46"/>
        <v>0</v>
      </c>
      <c r="J703" s="10" t="s">
        <v>4</v>
      </c>
      <c r="K703" s="3">
        <v>21</v>
      </c>
      <c r="L703" s="3">
        <v>28</v>
      </c>
    </row>
    <row r="704" spans="1:12" ht="18.75" customHeight="1">
      <c r="A704" s="3" t="str">
        <f>"10522018030113372282895"</f>
        <v>10522018030113372282895</v>
      </c>
      <c r="B704" s="8" t="s">
        <v>18</v>
      </c>
      <c r="C704" s="9" t="str">
        <f t="shared" si="50"/>
        <v>女</v>
      </c>
      <c r="D704" s="9" t="str">
        <f>"341223199302014949"</f>
        <v>341223199302014949</v>
      </c>
      <c r="E704" s="14" t="str">
        <f t="shared" si="51"/>
        <v>护理</v>
      </c>
      <c r="F704" s="9" t="str">
        <f>"2018012129"</f>
        <v>2018012129</v>
      </c>
      <c r="G704" s="9">
        <v>0</v>
      </c>
      <c r="H704" s="9">
        <v>0</v>
      </c>
      <c r="I704" s="9">
        <f t="shared" si="46"/>
        <v>0</v>
      </c>
      <c r="J704" s="10" t="s">
        <v>4</v>
      </c>
      <c r="K704" s="3">
        <v>21</v>
      </c>
      <c r="L704" s="3">
        <v>29</v>
      </c>
    </row>
    <row r="705" spans="1:12" ht="18.75" customHeight="1">
      <c r="A705" s="3" t="str">
        <f>"10522018030122143283043"</f>
        <v>10522018030122143283043</v>
      </c>
      <c r="B705" s="8" t="s">
        <v>18</v>
      </c>
      <c r="C705" s="9" t="str">
        <f t="shared" si="50"/>
        <v>女</v>
      </c>
      <c r="D705" s="9" t="str">
        <f>"341227199702070048"</f>
        <v>341227199702070048</v>
      </c>
      <c r="E705" s="14" t="str">
        <f t="shared" si="51"/>
        <v>护理</v>
      </c>
      <c r="F705" s="9" t="str">
        <f>"2018012130"</f>
        <v>2018012130</v>
      </c>
      <c r="G705" s="9">
        <v>0</v>
      </c>
      <c r="H705" s="9">
        <v>0</v>
      </c>
      <c r="I705" s="9">
        <f t="shared" si="46"/>
        <v>0</v>
      </c>
      <c r="J705" s="10" t="s">
        <v>4</v>
      </c>
      <c r="K705" s="3">
        <v>21</v>
      </c>
      <c r="L705" s="3">
        <v>30</v>
      </c>
    </row>
    <row r="706" spans="1:12" ht="18.75" customHeight="1">
      <c r="A706" s="3" t="str">
        <f>"10522018022614571781899"</f>
        <v>10522018022614571781899</v>
      </c>
      <c r="B706" s="8" t="s">
        <v>18</v>
      </c>
      <c r="C706" s="9" t="str">
        <f t="shared" si="50"/>
        <v>女</v>
      </c>
      <c r="D706" s="9" t="str">
        <f>"342401199906192264"</f>
        <v>342401199906192264</v>
      </c>
      <c r="E706" s="14" t="str">
        <f t="shared" si="51"/>
        <v>护理</v>
      </c>
      <c r="F706" s="9" t="str">
        <f>"2018012211"</f>
        <v>2018012211</v>
      </c>
      <c r="G706" s="9">
        <v>0</v>
      </c>
      <c r="H706" s="9">
        <v>0</v>
      </c>
      <c r="I706" s="9">
        <f t="shared" si="46"/>
        <v>0</v>
      </c>
      <c r="J706" s="10" t="s">
        <v>4</v>
      </c>
      <c r="K706" s="3">
        <v>22</v>
      </c>
      <c r="L706" s="3">
        <v>11</v>
      </c>
    </row>
    <row r="707" spans="1:12" ht="18.75" customHeight="1">
      <c r="A707" s="3" t="str">
        <f>"10522018022617234181981"</f>
        <v>10522018022617234181981</v>
      </c>
      <c r="B707" s="8" t="s">
        <v>19</v>
      </c>
      <c r="C707" s="9" t="str">
        <f t="shared" ref="C707:C752" si="52">"男"</f>
        <v>男</v>
      </c>
      <c r="D707" s="9" t="str">
        <f>"341223199306073153"</f>
        <v>341223199306073153</v>
      </c>
      <c r="E707" s="14" t="str">
        <f>"护理学"</f>
        <v>护理学</v>
      </c>
      <c r="F707" s="9" t="str">
        <f>"2018012301"</f>
        <v>2018012301</v>
      </c>
      <c r="G707" s="9">
        <v>50</v>
      </c>
      <c r="H707" s="9">
        <v>107</v>
      </c>
      <c r="I707" s="9">
        <f t="shared" ref="I707:I770" si="53">G707*0.3+H707*0.7</f>
        <v>89.899999999999991</v>
      </c>
      <c r="J707" s="9"/>
      <c r="K707" s="3">
        <v>23</v>
      </c>
      <c r="L707" s="3">
        <v>1</v>
      </c>
    </row>
    <row r="708" spans="1:12" ht="18.75" customHeight="1">
      <c r="A708" s="3" t="str">
        <f>"10522018022817584482672"</f>
        <v>10522018022817584482672</v>
      </c>
      <c r="B708" s="8" t="s">
        <v>19</v>
      </c>
      <c r="C708" s="9" t="str">
        <f t="shared" si="52"/>
        <v>男</v>
      </c>
      <c r="D708" s="9" t="str">
        <f>"341621199301105119"</f>
        <v>341621199301105119</v>
      </c>
      <c r="E708" s="14" t="str">
        <f>"护理学"</f>
        <v>护理学</v>
      </c>
      <c r="F708" s="9" t="str">
        <f>"2018012310"</f>
        <v>2018012310</v>
      </c>
      <c r="G708" s="9">
        <v>61.5</v>
      </c>
      <c r="H708" s="9">
        <v>97</v>
      </c>
      <c r="I708" s="9">
        <f t="shared" si="53"/>
        <v>86.35</v>
      </c>
      <c r="J708" s="9"/>
      <c r="K708" s="3">
        <v>23</v>
      </c>
      <c r="L708" s="3">
        <v>10</v>
      </c>
    </row>
    <row r="709" spans="1:12" ht="18.75" customHeight="1">
      <c r="A709" s="3" t="str">
        <f>"10522018022812403882565"</f>
        <v>10522018022812403882565</v>
      </c>
      <c r="B709" s="8" t="s">
        <v>19</v>
      </c>
      <c r="C709" s="9" t="str">
        <f t="shared" si="52"/>
        <v>男</v>
      </c>
      <c r="D709" s="9" t="str">
        <f>"341623199505293011"</f>
        <v>341623199505293011</v>
      </c>
      <c r="E709" s="14" t="str">
        <f>"护理"</f>
        <v>护理</v>
      </c>
      <c r="F709" s="9" t="str">
        <f>"2018012306"</f>
        <v>2018012306</v>
      </c>
      <c r="G709" s="9">
        <v>45.5</v>
      </c>
      <c r="H709" s="9">
        <v>101</v>
      </c>
      <c r="I709" s="9">
        <f t="shared" si="53"/>
        <v>84.35</v>
      </c>
      <c r="J709" s="9"/>
      <c r="K709" s="3">
        <v>23</v>
      </c>
      <c r="L709" s="3">
        <v>6</v>
      </c>
    </row>
    <row r="710" spans="1:12" ht="18.75" customHeight="1">
      <c r="A710" s="3" t="str">
        <f>"10522018022620010982044"</f>
        <v>10522018022620010982044</v>
      </c>
      <c r="B710" s="8" t="s">
        <v>19</v>
      </c>
      <c r="C710" s="9" t="str">
        <f t="shared" si="52"/>
        <v>男</v>
      </c>
      <c r="D710" s="9" t="str">
        <f>"341281199701180470"</f>
        <v>341281199701180470</v>
      </c>
      <c r="E710" s="14" t="str">
        <f>"护理"</f>
        <v>护理</v>
      </c>
      <c r="F710" s="9" t="str">
        <f>"2018012325"</f>
        <v>2018012325</v>
      </c>
      <c r="G710" s="9">
        <v>52</v>
      </c>
      <c r="H710" s="9">
        <v>98</v>
      </c>
      <c r="I710" s="9">
        <f t="shared" si="53"/>
        <v>84.199999999999989</v>
      </c>
      <c r="J710" s="9"/>
      <c r="K710" s="3">
        <v>23</v>
      </c>
      <c r="L710" s="3">
        <v>25</v>
      </c>
    </row>
    <row r="711" spans="1:12" ht="18.75" customHeight="1">
      <c r="A711" s="3" t="str">
        <f>"10522018022619563682043"</f>
        <v>10522018022619563682043</v>
      </c>
      <c r="B711" s="8" t="s">
        <v>19</v>
      </c>
      <c r="C711" s="9" t="str">
        <f t="shared" si="52"/>
        <v>男</v>
      </c>
      <c r="D711" s="9" t="str">
        <f>"341281199603178617"</f>
        <v>341281199603178617</v>
      </c>
      <c r="E711" s="14" t="str">
        <f>"护理"</f>
        <v>护理</v>
      </c>
      <c r="F711" s="9" t="str">
        <f>"2018012225"</f>
        <v>2018012225</v>
      </c>
      <c r="G711" s="9">
        <v>42</v>
      </c>
      <c r="H711" s="9">
        <v>100</v>
      </c>
      <c r="I711" s="9">
        <f t="shared" si="53"/>
        <v>82.6</v>
      </c>
      <c r="J711" s="9"/>
      <c r="K711" s="3">
        <v>22</v>
      </c>
      <c r="L711" s="3">
        <v>25</v>
      </c>
    </row>
    <row r="712" spans="1:12" ht="18.75" customHeight="1">
      <c r="A712" s="3" t="str">
        <f>"10522018030110445882828"</f>
        <v>10522018030110445882828</v>
      </c>
      <c r="B712" s="8" t="s">
        <v>19</v>
      </c>
      <c r="C712" s="9" t="str">
        <f t="shared" si="52"/>
        <v>男</v>
      </c>
      <c r="D712" s="9" t="str">
        <f>"341227199602013417"</f>
        <v>341227199602013417</v>
      </c>
      <c r="E712" s="14" t="str">
        <f>"护理"</f>
        <v>护理</v>
      </c>
      <c r="F712" s="9" t="str">
        <f>"2018012305"</f>
        <v>2018012305</v>
      </c>
      <c r="G712" s="9">
        <v>50</v>
      </c>
      <c r="H712" s="9">
        <v>93</v>
      </c>
      <c r="I712" s="9">
        <f t="shared" si="53"/>
        <v>80.099999999999994</v>
      </c>
      <c r="J712" s="9"/>
      <c r="K712" s="3">
        <v>23</v>
      </c>
      <c r="L712" s="3">
        <v>5</v>
      </c>
    </row>
    <row r="713" spans="1:12" ht="18.75" customHeight="1">
      <c r="A713" s="3" t="str">
        <f>"10522018022612582581822"</f>
        <v>10522018022612582581822</v>
      </c>
      <c r="B713" s="8" t="s">
        <v>19</v>
      </c>
      <c r="C713" s="9" t="str">
        <f t="shared" si="52"/>
        <v>男</v>
      </c>
      <c r="D713" s="9" t="str">
        <f>"341223199403054739"</f>
        <v>341223199403054739</v>
      </c>
      <c r="E713" s="14" t="str">
        <f>"护理专业"</f>
        <v>护理专业</v>
      </c>
      <c r="F713" s="9" t="str">
        <f>"2018012215"</f>
        <v>2018012215</v>
      </c>
      <c r="G713" s="9">
        <v>50</v>
      </c>
      <c r="H713" s="9">
        <v>92</v>
      </c>
      <c r="I713" s="9">
        <f t="shared" si="53"/>
        <v>79.399999999999991</v>
      </c>
      <c r="J713" s="9"/>
      <c r="K713" s="3">
        <v>22</v>
      </c>
      <c r="L713" s="3">
        <v>15</v>
      </c>
    </row>
    <row r="714" spans="1:12" ht="18.75" customHeight="1">
      <c r="A714" s="3" t="str">
        <f>"10522018022615175881915"</f>
        <v>10522018022615175881915</v>
      </c>
      <c r="B714" s="8" t="s">
        <v>19</v>
      </c>
      <c r="C714" s="9" t="str">
        <f t="shared" si="52"/>
        <v>男</v>
      </c>
      <c r="D714" s="9" t="str">
        <f>"341227199412204853"</f>
        <v>341227199412204853</v>
      </c>
      <c r="E714" s="14" t="str">
        <f t="shared" ref="E714:E745" si="54">"护理"</f>
        <v>护理</v>
      </c>
      <c r="F714" s="9" t="str">
        <f>"2018012226"</f>
        <v>2018012226</v>
      </c>
      <c r="G714" s="9">
        <v>50.5</v>
      </c>
      <c r="H714" s="9">
        <v>90</v>
      </c>
      <c r="I714" s="9">
        <f t="shared" si="53"/>
        <v>78.149999999999991</v>
      </c>
      <c r="J714" s="9"/>
      <c r="K714" s="3">
        <v>22</v>
      </c>
      <c r="L714" s="3">
        <v>26</v>
      </c>
    </row>
    <row r="715" spans="1:12" ht="18.75" customHeight="1">
      <c r="A715" s="3" t="str">
        <f>"10522018022609474181630"</f>
        <v>10522018022609474181630</v>
      </c>
      <c r="B715" s="8" t="s">
        <v>19</v>
      </c>
      <c r="C715" s="9" t="str">
        <f t="shared" si="52"/>
        <v>男</v>
      </c>
      <c r="D715" s="9" t="str">
        <f>"341224199306177813"</f>
        <v>341224199306177813</v>
      </c>
      <c r="E715" s="14" t="str">
        <f t="shared" si="54"/>
        <v>护理</v>
      </c>
      <c r="F715" s="9" t="str">
        <f>"2018012316"</f>
        <v>2018012316</v>
      </c>
      <c r="G715" s="9">
        <v>38.5</v>
      </c>
      <c r="H715" s="9">
        <v>95</v>
      </c>
      <c r="I715" s="9">
        <f t="shared" si="53"/>
        <v>78.05</v>
      </c>
      <c r="J715" s="9"/>
      <c r="K715" s="3">
        <v>23</v>
      </c>
      <c r="L715" s="3">
        <v>16</v>
      </c>
    </row>
    <row r="716" spans="1:12" ht="18.75" customHeight="1">
      <c r="A716" s="3" t="str">
        <f>"10522018022821021282738"</f>
        <v>10522018022821021282738</v>
      </c>
      <c r="B716" s="8" t="s">
        <v>19</v>
      </c>
      <c r="C716" s="9" t="str">
        <f t="shared" si="52"/>
        <v>男</v>
      </c>
      <c r="D716" s="9" t="str">
        <f>"34162119940929031X"</f>
        <v>34162119940929031X</v>
      </c>
      <c r="E716" s="14" t="str">
        <f t="shared" si="54"/>
        <v>护理</v>
      </c>
      <c r="F716" s="9" t="str">
        <f>"2018012220"</f>
        <v>2018012220</v>
      </c>
      <c r="G716" s="9">
        <v>51</v>
      </c>
      <c r="H716" s="9">
        <v>86</v>
      </c>
      <c r="I716" s="9">
        <f t="shared" si="53"/>
        <v>75.5</v>
      </c>
      <c r="J716" s="9"/>
      <c r="K716" s="3">
        <v>22</v>
      </c>
      <c r="L716" s="3">
        <v>20</v>
      </c>
    </row>
    <row r="717" spans="1:12" ht="18.75" customHeight="1">
      <c r="A717" s="3" t="str">
        <f>"10522018022720131182391"</f>
        <v>10522018022720131182391</v>
      </c>
      <c r="B717" s="8" t="s">
        <v>19</v>
      </c>
      <c r="C717" s="9" t="str">
        <f t="shared" si="52"/>
        <v>男</v>
      </c>
      <c r="D717" s="9" t="str">
        <f>"341281199612304611"</f>
        <v>341281199612304611</v>
      </c>
      <c r="E717" s="14" t="str">
        <f t="shared" si="54"/>
        <v>护理</v>
      </c>
      <c r="F717" s="9" t="str">
        <f>"2018012227"</f>
        <v>2018012227</v>
      </c>
      <c r="G717" s="9">
        <v>58</v>
      </c>
      <c r="H717" s="9">
        <v>83</v>
      </c>
      <c r="I717" s="9">
        <f t="shared" si="53"/>
        <v>75.5</v>
      </c>
      <c r="J717" s="9"/>
      <c r="K717" s="3">
        <v>22</v>
      </c>
      <c r="L717" s="3">
        <v>27</v>
      </c>
    </row>
    <row r="718" spans="1:12" ht="18.75" customHeight="1">
      <c r="A718" s="3" t="str">
        <f>"10522018030113265382892"</f>
        <v>10522018030113265382892</v>
      </c>
      <c r="B718" s="8" t="s">
        <v>19</v>
      </c>
      <c r="C718" s="9" t="str">
        <f t="shared" si="52"/>
        <v>男</v>
      </c>
      <c r="D718" s="9" t="str">
        <f>"341623199703280019"</f>
        <v>341623199703280019</v>
      </c>
      <c r="E718" s="14" t="str">
        <f t="shared" si="54"/>
        <v>护理</v>
      </c>
      <c r="F718" s="9" t="str">
        <f>"2018012229"</f>
        <v>2018012229</v>
      </c>
      <c r="G718" s="9">
        <v>44</v>
      </c>
      <c r="H718" s="9">
        <v>88</v>
      </c>
      <c r="I718" s="9">
        <f t="shared" si="53"/>
        <v>74.8</v>
      </c>
      <c r="J718" s="9"/>
      <c r="K718" s="3">
        <v>22</v>
      </c>
      <c r="L718" s="3">
        <v>29</v>
      </c>
    </row>
    <row r="719" spans="1:12" ht="18.75" customHeight="1">
      <c r="A719" s="3" t="str">
        <f>"10522018022616234481953"</f>
        <v>10522018022616234481953</v>
      </c>
      <c r="B719" s="8" t="s">
        <v>19</v>
      </c>
      <c r="C719" s="9" t="str">
        <f t="shared" si="52"/>
        <v>男</v>
      </c>
      <c r="D719" s="9" t="str">
        <f>"341224199508136817"</f>
        <v>341224199508136817</v>
      </c>
      <c r="E719" s="14" t="str">
        <f t="shared" si="54"/>
        <v>护理</v>
      </c>
      <c r="F719" s="9" t="str">
        <f>"2018012326"</f>
        <v>2018012326</v>
      </c>
      <c r="G719" s="9">
        <v>45</v>
      </c>
      <c r="H719" s="9">
        <v>86</v>
      </c>
      <c r="I719" s="9">
        <f t="shared" si="53"/>
        <v>73.699999999999989</v>
      </c>
      <c r="J719" s="9"/>
      <c r="K719" s="3">
        <v>23</v>
      </c>
      <c r="L719" s="3">
        <v>26</v>
      </c>
    </row>
    <row r="720" spans="1:12" ht="18.75" customHeight="1">
      <c r="A720" s="3" t="str">
        <f>"10522018022610273381673"</f>
        <v>10522018022610273381673</v>
      </c>
      <c r="B720" s="8" t="s">
        <v>19</v>
      </c>
      <c r="C720" s="9" t="str">
        <f t="shared" si="52"/>
        <v>男</v>
      </c>
      <c r="D720" s="9" t="str">
        <f>"340621199701040018"</f>
        <v>340621199701040018</v>
      </c>
      <c r="E720" s="14" t="str">
        <f t="shared" si="54"/>
        <v>护理</v>
      </c>
      <c r="F720" s="9" t="str">
        <f>"2018012217"</f>
        <v>2018012217</v>
      </c>
      <c r="G720" s="9">
        <v>46.5</v>
      </c>
      <c r="H720" s="9">
        <v>85</v>
      </c>
      <c r="I720" s="9">
        <f t="shared" si="53"/>
        <v>73.449999999999989</v>
      </c>
      <c r="J720" s="9"/>
      <c r="K720" s="3">
        <v>22</v>
      </c>
      <c r="L720" s="3">
        <v>17</v>
      </c>
    </row>
    <row r="721" spans="1:12" ht="18.75" customHeight="1">
      <c r="A721" s="3" t="str">
        <f>"10522018022821490282754"</f>
        <v>10522018022821490282754</v>
      </c>
      <c r="B721" s="8" t="s">
        <v>19</v>
      </c>
      <c r="C721" s="9" t="str">
        <f t="shared" si="52"/>
        <v>男</v>
      </c>
      <c r="D721" s="9" t="str">
        <f>"341227199706170011"</f>
        <v>341227199706170011</v>
      </c>
      <c r="E721" s="14" t="str">
        <f t="shared" si="54"/>
        <v>护理</v>
      </c>
      <c r="F721" s="9" t="str">
        <f>"2018012308"</f>
        <v>2018012308</v>
      </c>
      <c r="G721" s="9">
        <v>39.5</v>
      </c>
      <c r="H721" s="9">
        <v>88</v>
      </c>
      <c r="I721" s="9">
        <f t="shared" si="53"/>
        <v>73.449999999999989</v>
      </c>
      <c r="J721" s="9"/>
      <c r="K721" s="3">
        <v>23</v>
      </c>
      <c r="L721" s="3">
        <v>8</v>
      </c>
    </row>
    <row r="722" spans="1:12" ht="18.75" customHeight="1">
      <c r="A722" s="3" t="str">
        <f>"10522018022821405382751"</f>
        <v>10522018022821405382751</v>
      </c>
      <c r="B722" s="8" t="s">
        <v>19</v>
      </c>
      <c r="C722" s="9" t="str">
        <f t="shared" si="52"/>
        <v>男</v>
      </c>
      <c r="D722" s="9" t="str">
        <f>"341602199610090011"</f>
        <v>341602199610090011</v>
      </c>
      <c r="E722" s="14" t="str">
        <f t="shared" si="54"/>
        <v>护理</v>
      </c>
      <c r="F722" s="9" t="str">
        <f>"2018012319"</f>
        <v>2018012319</v>
      </c>
      <c r="G722" s="9">
        <v>40.5</v>
      </c>
      <c r="H722" s="9">
        <v>87</v>
      </c>
      <c r="I722" s="9">
        <f t="shared" si="53"/>
        <v>73.05</v>
      </c>
      <c r="J722" s="9"/>
      <c r="K722" s="3">
        <v>23</v>
      </c>
      <c r="L722" s="3">
        <v>19</v>
      </c>
    </row>
    <row r="723" spans="1:12" ht="18.75" customHeight="1">
      <c r="A723" s="3" t="str">
        <f>"10522018022811335182542"</f>
        <v>10522018022811335182542</v>
      </c>
      <c r="B723" s="8" t="s">
        <v>19</v>
      </c>
      <c r="C723" s="9" t="str">
        <f t="shared" si="52"/>
        <v>男</v>
      </c>
      <c r="D723" s="9" t="str">
        <f>"34162319930312907X"</f>
        <v>34162319930312907X</v>
      </c>
      <c r="E723" s="14" t="str">
        <f t="shared" si="54"/>
        <v>护理</v>
      </c>
      <c r="F723" s="9" t="str">
        <f>"2018012327"</f>
        <v>2018012327</v>
      </c>
      <c r="G723" s="9">
        <v>46.5</v>
      </c>
      <c r="H723" s="9">
        <v>84</v>
      </c>
      <c r="I723" s="9">
        <f t="shared" si="53"/>
        <v>72.75</v>
      </c>
      <c r="J723" s="9"/>
      <c r="K723" s="3">
        <v>23</v>
      </c>
      <c r="L723" s="3">
        <v>27</v>
      </c>
    </row>
    <row r="724" spans="1:12" ht="18.75" customHeight="1">
      <c r="A724" s="3" t="str">
        <f>"10522018022617433481992"</f>
        <v>10522018022617433481992</v>
      </c>
      <c r="B724" s="8" t="s">
        <v>19</v>
      </c>
      <c r="C724" s="9" t="str">
        <f t="shared" si="52"/>
        <v>男</v>
      </c>
      <c r="D724" s="9" t="str">
        <f>"341202199808150516"</f>
        <v>341202199808150516</v>
      </c>
      <c r="E724" s="14" t="str">
        <f t="shared" si="54"/>
        <v>护理</v>
      </c>
      <c r="F724" s="9" t="str">
        <f>"2018012317"</f>
        <v>2018012317</v>
      </c>
      <c r="G724" s="9">
        <v>44</v>
      </c>
      <c r="H724" s="9">
        <v>85</v>
      </c>
      <c r="I724" s="9">
        <f t="shared" si="53"/>
        <v>72.699999999999989</v>
      </c>
      <c r="J724" s="9"/>
      <c r="K724" s="3">
        <v>23</v>
      </c>
      <c r="L724" s="3">
        <v>17</v>
      </c>
    </row>
    <row r="725" spans="1:12" ht="18.75" customHeight="1">
      <c r="A725" s="3" t="str">
        <f>"10522018030207212183064"</f>
        <v>10522018030207212183064</v>
      </c>
      <c r="B725" s="8" t="s">
        <v>19</v>
      </c>
      <c r="C725" s="9" t="str">
        <f t="shared" si="52"/>
        <v>男</v>
      </c>
      <c r="D725" s="9" t="str">
        <f>"341126199612202017"</f>
        <v>341126199612202017</v>
      </c>
      <c r="E725" s="14" t="str">
        <f t="shared" si="54"/>
        <v>护理</v>
      </c>
      <c r="F725" s="9" t="str">
        <f>"2018012212"</f>
        <v>2018012212</v>
      </c>
      <c r="G725" s="9">
        <v>46.5</v>
      </c>
      <c r="H725" s="9">
        <v>83</v>
      </c>
      <c r="I725" s="9">
        <f t="shared" si="53"/>
        <v>72.05</v>
      </c>
      <c r="J725" s="9"/>
      <c r="K725" s="3">
        <v>22</v>
      </c>
      <c r="L725" s="3">
        <v>12</v>
      </c>
    </row>
    <row r="726" spans="1:12" ht="18.75" customHeight="1">
      <c r="A726" s="3" t="str">
        <f>"10522018022614131481872"</f>
        <v>10522018022614131481872</v>
      </c>
      <c r="B726" s="8" t="s">
        <v>19</v>
      </c>
      <c r="C726" s="9" t="str">
        <f t="shared" si="52"/>
        <v>男</v>
      </c>
      <c r="D726" s="9" t="str">
        <f>"341221199712241033"</f>
        <v>341221199712241033</v>
      </c>
      <c r="E726" s="14" t="str">
        <f t="shared" si="54"/>
        <v>护理</v>
      </c>
      <c r="F726" s="9" t="str">
        <f>"2018012214"</f>
        <v>2018012214</v>
      </c>
      <c r="G726" s="9">
        <v>42</v>
      </c>
      <c r="H726" s="9">
        <v>84</v>
      </c>
      <c r="I726" s="9">
        <f t="shared" si="53"/>
        <v>71.399999999999991</v>
      </c>
      <c r="J726" s="9"/>
      <c r="K726" s="3">
        <v>22</v>
      </c>
      <c r="L726" s="3">
        <v>14</v>
      </c>
    </row>
    <row r="727" spans="1:12" ht="18.75" customHeight="1">
      <c r="A727" s="3" t="str">
        <f>"10522018022816410182651"</f>
        <v>10522018022816410182651</v>
      </c>
      <c r="B727" s="8" t="s">
        <v>19</v>
      </c>
      <c r="C727" s="9" t="str">
        <f t="shared" si="52"/>
        <v>男</v>
      </c>
      <c r="D727" s="9" t="str">
        <f>"341221199710219297"</f>
        <v>341221199710219297</v>
      </c>
      <c r="E727" s="14" t="str">
        <f t="shared" si="54"/>
        <v>护理</v>
      </c>
      <c r="F727" s="9" t="str">
        <f>"2018012309"</f>
        <v>2018012309</v>
      </c>
      <c r="G727" s="9">
        <v>43</v>
      </c>
      <c r="H727" s="9">
        <v>83</v>
      </c>
      <c r="I727" s="9">
        <f t="shared" si="53"/>
        <v>71</v>
      </c>
      <c r="J727" s="9"/>
      <c r="K727" s="3">
        <v>23</v>
      </c>
      <c r="L727" s="3">
        <v>9</v>
      </c>
    </row>
    <row r="728" spans="1:12" ht="18.75" customHeight="1">
      <c r="A728" s="3" t="str">
        <f>"10522018022611170981750"</f>
        <v>10522018022611170981750</v>
      </c>
      <c r="B728" s="8" t="s">
        <v>19</v>
      </c>
      <c r="C728" s="9" t="str">
        <f t="shared" si="52"/>
        <v>男</v>
      </c>
      <c r="D728" s="9" t="str">
        <f>"340421199612060219"</f>
        <v>340421199612060219</v>
      </c>
      <c r="E728" s="14" t="str">
        <f t="shared" si="54"/>
        <v>护理</v>
      </c>
      <c r="F728" s="9" t="str">
        <f>"2018012314"</f>
        <v>2018012314</v>
      </c>
      <c r="G728" s="9">
        <v>50</v>
      </c>
      <c r="H728" s="9">
        <v>80</v>
      </c>
      <c r="I728" s="9">
        <f t="shared" si="53"/>
        <v>71</v>
      </c>
      <c r="J728" s="9"/>
      <c r="K728" s="3">
        <v>23</v>
      </c>
      <c r="L728" s="3">
        <v>14</v>
      </c>
    </row>
    <row r="729" spans="1:12" ht="18.75" customHeight="1">
      <c r="A729" s="3" t="str">
        <f>"10522018022612435681806"</f>
        <v>10522018022612435681806</v>
      </c>
      <c r="B729" s="8" t="s">
        <v>19</v>
      </c>
      <c r="C729" s="9" t="str">
        <f t="shared" si="52"/>
        <v>男</v>
      </c>
      <c r="D729" s="9" t="str">
        <f>"341203199712290916"</f>
        <v>341203199712290916</v>
      </c>
      <c r="E729" s="14" t="str">
        <f t="shared" si="54"/>
        <v>护理</v>
      </c>
      <c r="F729" s="9" t="str">
        <f>"2018012318"</f>
        <v>2018012318</v>
      </c>
      <c r="G729" s="9">
        <v>28.5</v>
      </c>
      <c r="H729" s="9">
        <v>89</v>
      </c>
      <c r="I729" s="9">
        <f t="shared" si="53"/>
        <v>70.849999999999994</v>
      </c>
      <c r="J729" s="9"/>
      <c r="K729" s="3">
        <v>23</v>
      </c>
      <c r="L729" s="3">
        <v>18</v>
      </c>
    </row>
    <row r="730" spans="1:12" ht="18.75" customHeight="1">
      <c r="A730" s="3" t="str">
        <f>"10522018022808160482462"</f>
        <v>10522018022808160482462</v>
      </c>
      <c r="B730" s="8" t="s">
        <v>19</v>
      </c>
      <c r="C730" s="9" t="str">
        <f t="shared" si="52"/>
        <v>男</v>
      </c>
      <c r="D730" s="9" t="str">
        <f>"341621199708131116"</f>
        <v>341621199708131116</v>
      </c>
      <c r="E730" s="14" t="str">
        <f t="shared" si="54"/>
        <v>护理</v>
      </c>
      <c r="F730" s="9" t="str">
        <f>"2018012219"</f>
        <v>2018012219</v>
      </c>
      <c r="G730" s="9">
        <v>47</v>
      </c>
      <c r="H730" s="9">
        <v>80</v>
      </c>
      <c r="I730" s="9">
        <f t="shared" si="53"/>
        <v>70.099999999999994</v>
      </c>
      <c r="J730" s="9"/>
      <c r="K730" s="3">
        <v>22</v>
      </c>
      <c r="L730" s="3">
        <v>19</v>
      </c>
    </row>
    <row r="731" spans="1:12" ht="18.75" customHeight="1">
      <c r="A731" s="3" t="str">
        <f>"10522018022610473681710"</f>
        <v>10522018022610473681710</v>
      </c>
      <c r="B731" s="8" t="s">
        <v>19</v>
      </c>
      <c r="C731" s="9" t="str">
        <f t="shared" si="52"/>
        <v>男</v>
      </c>
      <c r="D731" s="9" t="str">
        <f>"341281199610042435"</f>
        <v>341281199610042435</v>
      </c>
      <c r="E731" s="14" t="str">
        <f t="shared" si="54"/>
        <v>护理</v>
      </c>
      <c r="F731" s="9" t="str">
        <f>"2018012213"</f>
        <v>2018012213</v>
      </c>
      <c r="G731" s="9">
        <v>39.5</v>
      </c>
      <c r="H731" s="9">
        <v>83</v>
      </c>
      <c r="I731" s="9">
        <f t="shared" si="53"/>
        <v>69.949999999999989</v>
      </c>
      <c r="J731" s="9"/>
      <c r="K731" s="3">
        <v>22</v>
      </c>
      <c r="L731" s="3">
        <v>13</v>
      </c>
    </row>
    <row r="732" spans="1:12" ht="18.75" customHeight="1">
      <c r="A732" s="3" t="str">
        <f>"10522018030111183782838"</f>
        <v>10522018030111183782838</v>
      </c>
      <c r="B732" s="8" t="s">
        <v>19</v>
      </c>
      <c r="C732" s="9" t="str">
        <f t="shared" si="52"/>
        <v>男</v>
      </c>
      <c r="D732" s="9" t="str">
        <f>"341227199404209013"</f>
        <v>341227199404209013</v>
      </c>
      <c r="E732" s="14" t="str">
        <f t="shared" si="54"/>
        <v>护理</v>
      </c>
      <c r="F732" s="9" t="str">
        <f>"2018012302"</f>
        <v>2018012302</v>
      </c>
      <c r="G732" s="9">
        <v>43.5</v>
      </c>
      <c r="H732" s="9">
        <v>80</v>
      </c>
      <c r="I732" s="9">
        <f t="shared" si="53"/>
        <v>69.05</v>
      </c>
      <c r="J732" s="9"/>
      <c r="K732" s="3">
        <v>23</v>
      </c>
      <c r="L732" s="3">
        <v>2</v>
      </c>
    </row>
    <row r="733" spans="1:12" ht="18.75" customHeight="1">
      <c r="A733" s="3" t="str">
        <f>"10522018022619522782040"</f>
        <v>10522018022619522782040</v>
      </c>
      <c r="B733" s="8" t="s">
        <v>19</v>
      </c>
      <c r="C733" s="9" t="str">
        <f t="shared" si="52"/>
        <v>男</v>
      </c>
      <c r="D733" s="9" t="str">
        <f>"341281199604271039"</f>
        <v>341281199604271039</v>
      </c>
      <c r="E733" s="14" t="str">
        <f t="shared" si="54"/>
        <v>护理</v>
      </c>
      <c r="F733" s="9" t="str">
        <f>"2018012230"</f>
        <v>2018012230</v>
      </c>
      <c r="G733" s="9">
        <v>42</v>
      </c>
      <c r="H733" s="9">
        <v>80</v>
      </c>
      <c r="I733" s="9">
        <f t="shared" si="53"/>
        <v>68.599999999999994</v>
      </c>
      <c r="J733" s="9"/>
      <c r="K733" s="3">
        <v>22</v>
      </c>
      <c r="L733" s="3">
        <v>30</v>
      </c>
    </row>
    <row r="734" spans="1:12" ht="18.75" customHeight="1">
      <c r="A734" s="3" t="str">
        <f>"10522018022611114581742"</f>
        <v>10522018022611114581742</v>
      </c>
      <c r="B734" s="8" t="s">
        <v>19</v>
      </c>
      <c r="C734" s="9" t="str">
        <f t="shared" si="52"/>
        <v>男</v>
      </c>
      <c r="D734" s="9" t="str">
        <f>"341621199701162518"</f>
        <v>341621199701162518</v>
      </c>
      <c r="E734" s="14" t="str">
        <f t="shared" si="54"/>
        <v>护理</v>
      </c>
      <c r="F734" s="9" t="str">
        <f>"2018012221"</f>
        <v>2018012221</v>
      </c>
      <c r="G734" s="9">
        <v>41.5</v>
      </c>
      <c r="H734" s="9">
        <v>78</v>
      </c>
      <c r="I734" s="9">
        <f t="shared" si="53"/>
        <v>67.05</v>
      </c>
      <c r="J734" s="9"/>
      <c r="K734" s="3">
        <v>22</v>
      </c>
      <c r="L734" s="3">
        <v>21</v>
      </c>
    </row>
    <row r="735" spans="1:12" ht="18.75" customHeight="1">
      <c r="A735" s="3" t="str">
        <f>"10522018022609041881566"</f>
        <v>10522018022609041881566</v>
      </c>
      <c r="B735" s="8" t="s">
        <v>19</v>
      </c>
      <c r="C735" s="9" t="str">
        <f t="shared" si="52"/>
        <v>男</v>
      </c>
      <c r="D735" s="9" t="str">
        <f>"341621199811203958"</f>
        <v>341621199811203958</v>
      </c>
      <c r="E735" s="14" t="str">
        <f t="shared" si="54"/>
        <v>护理</v>
      </c>
      <c r="F735" s="9" t="str">
        <f>"2018012324"</f>
        <v>2018012324</v>
      </c>
      <c r="G735" s="9">
        <v>49.5</v>
      </c>
      <c r="H735" s="9">
        <v>73</v>
      </c>
      <c r="I735" s="9">
        <f t="shared" si="53"/>
        <v>65.949999999999989</v>
      </c>
      <c r="J735" s="9"/>
      <c r="K735" s="3">
        <v>23</v>
      </c>
      <c r="L735" s="3">
        <v>24</v>
      </c>
    </row>
    <row r="736" spans="1:12" ht="18.75" customHeight="1">
      <c r="A736" s="3" t="str">
        <f>"10522018030112522082877"</f>
        <v>10522018030112522082877</v>
      </c>
      <c r="B736" s="8" t="s">
        <v>19</v>
      </c>
      <c r="C736" s="9" t="str">
        <f t="shared" si="52"/>
        <v>男</v>
      </c>
      <c r="D736" s="9" t="str">
        <f>"341602199302106093"</f>
        <v>341602199302106093</v>
      </c>
      <c r="E736" s="14" t="str">
        <f t="shared" si="54"/>
        <v>护理</v>
      </c>
      <c r="F736" s="9" t="str">
        <f>"2018012311"</f>
        <v>2018012311</v>
      </c>
      <c r="G736" s="9">
        <v>30.5</v>
      </c>
      <c r="H736" s="9">
        <v>81</v>
      </c>
      <c r="I736" s="9">
        <f t="shared" si="53"/>
        <v>65.849999999999994</v>
      </c>
      <c r="J736" s="9"/>
      <c r="K736" s="3">
        <v>23</v>
      </c>
      <c r="L736" s="3">
        <v>11</v>
      </c>
    </row>
    <row r="737" spans="1:12" ht="18.75" customHeight="1">
      <c r="A737" s="3" t="str">
        <f>"10522018030108410882793"</f>
        <v>10522018030108410882793</v>
      </c>
      <c r="B737" s="8" t="s">
        <v>19</v>
      </c>
      <c r="C737" s="9" t="str">
        <f t="shared" si="52"/>
        <v>男</v>
      </c>
      <c r="D737" s="9" t="str">
        <f>"341223199407010231"</f>
        <v>341223199407010231</v>
      </c>
      <c r="E737" s="14" t="str">
        <f t="shared" si="54"/>
        <v>护理</v>
      </c>
      <c r="F737" s="9" t="str">
        <f>"2018012222"</f>
        <v>2018012222</v>
      </c>
      <c r="G737" s="9">
        <v>40</v>
      </c>
      <c r="H737" s="9">
        <v>69</v>
      </c>
      <c r="I737" s="9">
        <f t="shared" si="53"/>
        <v>60.3</v>
      </c>
      <c r="J737" s="9"/>
      <c r="K737" s="3">
        <v>22</v>
      </c>
      <c r="L737" s="3">
        <v>22</v>
      </c>
    </row>
    <row r="738" spans="1:12" ht="18.75" customHeight="1">
      <c r="A738" s="3" t="str">
        <f>"10522018022620460882071"</f>
        <v>10522018022620460882071</v>
      </c>
      <c r="B738" s="8" t="s">
        <v>19</v>
      </c>
      <c r="C738" s="9" t="str">
        <f t="shared" si="52"/>
        <v>男</v>
      </c>
      <c r="D738" s="9" t="str">
        <f>"341223199511091932"</f>
        <v>341223199511091932</v>
      </c>
      <c r="E738" s="14" t="str">
        <f t="shared" si="54"/>
        <v>护理</v>
      </c>
      <c r="F738" s="9" t="str">
        <f>"2018012312"</f>
        <v>2018012312</v>
      </c>
      <c r="G738" s="9">
        <v>18.5</v>
      </c>
      <c r="H738" s="9">
        <v>76</v>
      </c>
      <c r="I738" s="9">
        <f t="shared" si="53"/>
        <v>58.749999999999993</v>
      </c>
      <c r="J738" s="9"/>
      <c r="K738" s="3">
        <v>23</v>
      </c>
      <c r="L738" s="3">
        <v>12</v>
      </c>
    </row>
    <row r="739" spans="1:12" ht="18.75" customHeight="1">
      <c r="A739" s="3" t="str">
        <f>"10522018022812210982561"</f>
        <v>10522018022812210982561</v>
      </c>
      <c r="B739" s="8" t="s">
        <v>19</v>
      </c>
      <c r="C739" s="9" t="str">
        <f t="shared" si="52"/>
        <v>男</v>
      </c>
      <c r="D739" s="9" t="str">
        <f>"341223199612101116"</f>
        <v>341223199612101116</v>
      </c>
      <c r="E739" s="14" t="str">
        <f t="shared" si="54"/>
        <v>护理</v>
      </c>
      <c r="F739" s="9" t="str">
        <f>"2018012304"</f>
        <v>2018012304</v>
      </c>
      <c r="G739" s="9">
        <v>36.5</v>
      </c>
      <c r="H739" s="9">
        <v>68</v>
      </c>
      <c r="I739" s="9">
        <f t="shared" si="53"/>
        <v>58.55</v>
      </c>
      <c r="J739" s="9"/>
      <c r="K739" s="3">
        <v>23</v>
      </c>
      <c r="L739" s="3">
        <v>4</v>
      </c>
    </row>
    <row r="740" spans="1:12" ht="18.75" customHeight="1">
      <c r="A740" s="3" t="str">
        <f>"10522018022823390482774"</f>
        <v>10522018022823390482774</v>
      </c>
      <c r="B740" s="8" t="s">
        <v>19</v>
      </c>
      <c r="C740" s="9" t="str">
        <f t="shared" si="52"/>
        <v>男</v>
      </c>
      <c r="D740" s="9" t="str">
        <f>"341221199709175557"</f>
        <v>341221199709175557</v>
      </c>
      <c r="E740" s="14" t="str">
        <f t="shared" si="54"/>
        <v>护理</v>
      </c>
      <c r="F740" s="9" t="str">
        <f>"2018012321"</f>
        <v>2018012321</v>
      </c>
      <c r="G740" s="9">
        <v>37</v>
      </c>
      <c r="H740" s="9">
        <v>66</v>
      </c>
      <c r="I740" s="9">
        <f t="shared" si="53"/>
        <v>57.3</v>
      </c>
      <c r="J740" s="9"/>
      <c r="K740" s="3">
        <v>23</v>
      </c>
      <c r="L740" s="3">
        <v>21</v>
      </c>
    </row>
    <row r="741" spans="1:12" ht="18.75" customHeight="1">
      <c r="A741" s="3" t="str">
        <f>"10522018022722194082441"</f>
        <v>10522018022722194082441</v>
      </c>
      <c r="B741" s="8" t="s">
        <v>19</v>
      </c>
      <c r="C741" s="9" t="str">
        <f t="shared" si="52"/>
        <v>男</v>
      </c>
      <c r="D741" s="9" t="str">
        <f>"340604199702082416"</f>
        <v>340604199702082416</v>
      </c>
      <c r="E741" s="14" t="str">
        <f t="shared" si="54"/>
        <v>护理</v>
      </c>
      <c r="F741" s="9" t="str">
        <f>"2018012303"</f>
        <v>2018012303</v>
      </c>
      <c r="G741" s="9">
        <v>20</v>
      </c>
      <c r="H741" s="9">
        <v>69</v>
      </c>
      <c r="I741" s="9">
        <f t="shared" si="53"/>
        <v>54.3</v>
      </c>
      <c r="J741" s="9"/>
      <c r="K741" s="3">
        <v>23</v>
      </c>
      <c r="L741" s="3">
        <v>3</v>
      </c>
    </row>
    <row r="742" spans="1:12" ht="18.75" customHeight="1">
      <c r="A742" s="3" t="str">
        <f>"10522018022810474482525"</f>
        <v>10522018022810474482525</v>
      </c>
      <c r="B742" s="8" t="s">
        <v>19</v>
      </c>
      <c r="C742" s="9" t="str">
        <f t="shared" si="52"/>
        <v>男</v>
      </c>
      <c r="D742" s="9" t="str">
        <f>"341621199503072511"</f>
        <v>341621199503072511</v>
      </c>
      <c r="E742" s="14" t="str">
        <f t="shared" si="54"/>
        <v>护理</v>
      </c>
      <c r="F742" s="9" t="str">
        <f>"2018012218"</f>
        <v>2018012218</v>
      </c>
      <c r="G742" s="9">
        <v>41.5</v>
      </c>
      <c r="H742" s="9">
        <v>58</v>
      </c>
      <c r="I742" s="9">
        <f t="shared" si="53"/>
        <v>53.05</v>
      </c>
      <c r="J742" s="9"/>
      <c r="K742" s="3">
        <v>22</v>
      </c>
      <c r="L742" s="3">
        <v>18</v>
      </c>
    </row>
    <row r="743" spans="1:12" ht="18.75" customHeight="1">
      <c r="A743" s="3" t="str">
        <f>"10522018030117112982970"</f>
        <v>10522018030117112982970</v>
      </c>
      <c r="B743" s="8" t="s">
        <v>19</v>
      </c>
      <c r="C743" s="9" t="str">
        <f t="shared" si="52"/>
        <v>男</v>
      </c>
      <c r="D743" s="9" t="str">
        <f>"341224199306305838"</f>
        <v>341224199306305838</v>
      </c>
      <c r="E743" s="14" t="str">
        <f t="shared" si="54"/>
        <v>护理</v>
      </c>
      <c r="F743" s="9" t="str">
        <f>"2018012216"</f>
        <v>2018012216</v>
      </c>
      <c r="G743" s="9">
        <v>0</v>
      </c>
      <c r="H743" s="9">
        <v>0</v>
      </c>
      <c r="I743" s="9">
        <f t="shared" si="53"/>
        <v>0</v>
      </c>
      <c r="J743" s="10" t="s">
        <v>4</v>
      </c>
      <c r="K743" s="3">
        <v>22</v>
      </c>
      <c r="L743" s="3">
        <v>16</v>
      </c>
    </row>
    <row r="744" spans="1:12" ht="18.75" customHeight="1">
      <c r="A744" s="3" t="str">
        <f>"10522018022721365182424"</f>
        <v>10522018022721365182424</v>
      </c>
      <c r="B744" s="8" t="s">
        <v>19</v>
      </c>
      <c r="C744" s="9" t="str">
        <f t="shared" si="52"/>
        <v>男</v>
      </c>
      <c r="D744" s="9" t="str">
        <f>"429005199507013935"</f>
        <v>429005199507013935</v>
      </c>
      <c r="E744" s="14" t="str">
        <f t="shared" si="54"/>
        <v>护理</v>
      </c>
      <c r="F744" s="9" t="str">
        <f>"2018012223"</f>
        <v>2018012223</v>
      </c>
      <c r="G744" s="9">
        <v>0</v>
      </c>
      <c r="H744" s="9">
        <v>0</v>
      </c>
      <c r="I744" s="9">
        <f t="shared" si="53"/>
        <v>0</v>
      </c>
      <c r="J744" s="10" t="s">
        <v>4</v>
      </c>
      <c r="K744" s="3">
        <v>22</v>
      </c>
      <c r="L744" s="3">
        <v>23</v>
      </c>
    </row>
    <row r="745" spans="1:12" ht="18.75" customHeight="1">
      <c r="A745" s="3" t="str">
        <f>"10522018022613100481830"</f>
        <v>10522018022613100481830</v>
      </c>
      <c r="B745" s="8" t="s">
        <v>19</v>
      </c>
      <c r="C745" s="9" t="str">
        <f t="shared" si="52"/>
        <v>男</v>
      </c>
      <c r="D745" s="9" t="str">
        <f>"341224199508016815"</f>
        <v>341224199508016815</v>
      </c>
      <c r="E745" s="14" t="str">
        <f t="shared" si="54"/>
        <v>护理</v>
      </c>
      <c r="F745" s="9" t="str">
        <f>"2018012224"</f>
        <v>2018012224</v>
      </c>
      <c r="G745" s="9">
        <v>0</v>
      </c>
      <c r="H745" s="9">
        <v>0</v>
      </c>
      <c r="I745" s="9">
        <f t="shared" si="53"/>
        <v>0</v>
      </c>
      <c r="J745" s="10" t="s">
        <v>4</v>
      </c>
      <c r="K745" s="3">
        <v>22</v>
      </c>
      <c r="L745" s="3">
        <v>24</v>
      </c>
    </row>
    <row r="746" spans="1:12" ht="18.75" customHeight="1">
      <c r="A746" s="3" t="str">
        <f>"10522018022612571281820"</f>
        <v>10522018022612571281820</v>
      </c>
      <c r="B746" s="8" t="s">
        <v>19</v>
      </c>
      <c r="C746" s="9" t="str">
        <f t="shared" si="52"/>
        <v>男</v>
      </c>
      <c r="D746" s="9" t="str">
        <f>"340404199709212614"</f>
        <v>340404199709212614</v>
      </c>
      <c r="E746" s="14" t="str">
        <f>"护理专业"</f>
        <v>护理专业</v>
      </c>
      <c r="F746" s="9" t="str">
        <f>"2018012228"</f>
        <v>2018012228</v>
      </c>
      <c r="G746" s="9">
        <v>0</v>
      </c>
      <c r="H746" s="9">
        <v>0</v>
      </c>
      <c r="I746" s="9">
        <f t="shared" si="53"/>
        <v>0</v>
      </c>
      <c r="J746" s="10" t="s">
        <v>4</v>
      </c>
      <c r="K746" s="3">
        <v>22</v>
      </c>
      <c r="L746" s="3">
        <v>28</v>
      </c>
    </row>
    <row r="747" spans="1:12" ht="18.75" customHeight="1">
      <c r="A747" s="3" t="str">
        <f>"10522018022814051482607"</f>
        <v>10522018022814051482607</v>
      </c>
      <c r="B747" s="8" t="s">
        <v>19</v>
      </c>
      <c r="C747" s="9" t="str">
        <f t="shared" si="52"/>
        <v>男</v>
      </c>
      <c r="D747" s="9" t="str">
        <f>"340621199409100335"</f>
        <v>340621199409100335</v>
      </c>
      <c r="E747" s="14" t="str">
        <f t="shared" ref="E747:E752" si="55">"护理"</f>
        <v>护理</v>
      </c>
      <c r="F747" s="9" t="str">
        <f>"2018012307"</f>
        <v>2018012307</v>
      </c>
      <c r="G747" s="9">
        <v>0</v>
      </c>
      <c r="H747" s="9">
        <v>0</v>
      </c>
      <c r="I747" s="9">
        <f t="shared" si="53"/>
        <v>0</v>
      </c>
      <c r="J747" s="10" t="s">
        <v>4</v>
      </c>
      <c r="K747" s="3">
        <v>23</v>
      </c>
      <c r="L747" s="3">
        <v>7</v>
      </c>
    </row>
    <row r="748" spans="1:12" ht="18.75" customHeight="1">
      <c r="A748" s="3" t="str">
        <f>"10522018022610315881682"</f>
        <v>10522018022610315881682</v>
      </c>
      <c r="B748" s="8" t="s">
        <v>19</v>
      </c>
      <c r="C748" s="9" t="str">
        <f t="shared" si="52"/>
        <v>男</v>
      </c>
      <c r="D748" s="9" t="str">
        <f>"341281199508150130"</f>
        <v>341281199508150130</v>
      </c>
      <c r="E748" s="14" t="str">
        <f t="shared" si="55"/>
        <v>护理</v>
      </c>
      <c r="F748" s="9" t="str">
        <f>"2018012313"</f>
        <v>2018012313</v>
      </c>
      <c r="G748" s="9">
        <v>0</v>
      </c>
      <c r="H748" s="9">
        <v>0</v>
      </c>
      <c r="I748" s="9">
        <f t="shared" si="53"/>
        <v>0</v>
      </c>
      <c r="J748" s="10" t="s">
        <v>4</v>
      </c>
      <c r="K748" s="3">
        <v>23</v>
      </c>
      <c r="L748" s="3">
        <v>13</v>
      </c>
    </row>
    <row r="749" spans="1:12" ht="18.75" customHeight="1">
      <c r="A749" s="3" t="str">
        <f>"10522018022712044382210"</f>
        <v>10522018022712044382210</v>
      </c>
      <c r="B749" s="8" t="s">
        <v>19</v>
      </c>
      <c r="C749" s="9" t="str">
        <f t="shared" si="52"/>
        <v>男</v>
      </c>
      <c r="D749" s="9" t="str">
        <f>"341223199402265331"</f>
        <v>341223199402265331</v>
      </c>
      <c r="E749" s="14" t="str">
        <f t="shared" si="55"/>
        <v>护理</v>
      </c>
      <c r="F749" s="9" t="str">
        <f>"2018012315"</f>
        <v>2018012315</v>
      </c>
      <c r="G749" s="9">
        <v>0</v>
      </c>
      <c r="H749" s="9">
        <v>0</v>
      </c>
      <c r="I749" s="9">
        <f t="shared" si="53"/>
        <v>0</v>
      </c>
      <c r="J749" s="10" t="s">
        <v>4</v>
      </c>
      <c r="K749" s="3">
        <v>23</v>
      </c>
      <c r="L749" s="3">
        <v>15</v>
      </c>
    </row>
    <row r="750" spans="1:12" ht="18.75" customHeight="1">
      <c r="A750" s="3" t="str">
        <f>"10522018022717435482319"</f>
        <v>10522018022717435482319</v>
      </c>
      <c r="B750" s="8" t="s">
        <v>19</v>
      </c>
      <c r="C750" s="9" t="str">
        <f t="shared" si="52"/>
        <v>男</v>
      </c>
      <c r="D750" s="9" t="str">
        <f>"341621199312214919"</f>
        <v>341621199312214919</v>
      </c>
      <c r="E750" s="14" t="str">
        <f t="shared" si="55"/>
        <v>护理</v>
      </c>
      <c r="F750" s="9" t="str">
        <f>"2018012320"</f>
        <v>2018012320</v>
      </c>
      <c r="G750" s="9">
        <v>0</v>
      </c>
      <c r="H750" s="9">
        <v>0</v>
      </c>
      <c r="I750" s="9">
        <f t="shared" si="53"/>
        <v>0</v>
      </c>
      <c r="J750" s="10" t="s">
        <v>4</v>
      </c>
      <c r="K750" s="3">
        <v>23</v>
      </c>
      <c r="L750" s="3">
        <v>20</v>
      </c>
    </row>
    <row r="751" spans="1:12" ht="18.75" customHeight="1">
      <c r="A751" s="3" t="str">
        <f>"10522018022715371182286"</f>
        <v>10522018022715371182286</v>
      </c>
      <c r="B751" s="8" t="s">
        <v>19</v>
      </c>
      <c r="C751" s="9" t="str">
        <f t="shared" si="52"/>
        <v>男</v>
      </c>
      <c r="D751" s="9" t="str">
        <f>"341224199403082154"</f>
        <v>341224199403082154</v>
      </c>
      <c r="E751" s="14" t="str">
        <f t="shared" si="55"/>
        <v>护理</v>
      </c>
      <c r="F751" s="9" t="str">
        <f>"2018012322"</f>
        <v>2018012322</v>
      </c>
      <c r="G751" s="9">
        <v>0</v>
      </c>
      <c r="H751" s="9">
        <v>0</v>
      </c>
      <c r="I751" s="9">
        <f t="shared" si="53"/>
        <v>0</v>
      </c>
      <c r="J751" s="10" t="s">
        <v>4</v>
      </c>
      <c r="K751" s="3">
        <v>23</v>
      </c>
      <c r="L751" s="3">
        <v>22</v>
      </c>
    </row>
    <row r="752" spans="1:12" ht="18.75" customHeight="1">
      <c r="A752" s="3" t="str">
        <f>"10522018022719593382382"</f>
        <v>10522018022719593382382</v>
      </c>
      <c r="B752" s="8" t="s">
        <v>19</v>
      </c>
      <c r="C752" s="9" t="str">
        <f t="shared" si="52"/>
        <v>男</v>
      </c>
      <c r="D752" s="9" t="str">
        <f>"342222199304122817"</f>
        <v>342222199304122817</v>
      </c>
      <c r="E752" s="14" t="str">
        <f t="shared" si="55"/>
        <v>护理</v>
      </c>
      <c r="F752" s="9" t="str">
        <f>"2018012323"</f>
        <v>2018012323</v>
      </c>
      <c r="G752" s="9">
        <v>0</v>
      </c>
      <c r="H752" s="9">
        <v>0</v>
      </c>
      <c r="I752" s="9">
        <f t="shared" si="53"/>
        <v>0</v>
      </c>
      <c r="J752" s="10" t="s">
        <v>4</v>
      </c>
      <c r="K752" s="3">
        <v>23</v>
      </c>
      <c r="L752" s="3">
        <v>23</v>
      </c>
    </row>
    <row r="753" spans="1:12" ht="18.75" customHeight="1">
      <c r="A753" s="3" t="str">
        <f>"10522018022610542181721"</f>
        <v>10522018022610542181721</v>
      </c>
      <c r="B753" s="8" t="s">
        <v>20</v>
      </c>
      <c r="C753" s="9" t="str">
        <f t="shared" ref="C753:C784" si="56">"女"</f>
        <v>女</v>
      </c>
      <c r="D753" s="9" t="str">
        <f>"341621199503201926"</f>
        <v>341621199503201926</v>
      </c>
      <c r="E753" s="14" t="str">
        <f t="shared" ref="E753:E770" si="57">"助产"</f>
        <v>助产</v>
      </c>
      <c r="F753" s="9" t="str">
        <f>"2018013320"</f>
        <v>2018013320</v>
      </c>
      <c r="G753" s="9">
        <v>47</v>
      </c>
      <c r="H753" s="9">
        <v>107</v>
      </c>
      <c r="I753" s="9">
        <f t="shared" si="53"/>
        <v>88.999999999999986</v>
      </c>
      <c r="J753" s="9"/>
      <c r="K753" s="3">
        <v>33</v>
      </c>
      <c r="L753" s="3">
        <v>20</v>
      </c>
    </row>
    <row r="754" spans="1:12" ht="18.75" customHeight="1">
      <c r="A754" s="3" t="str">
        <f>"10522018030117014382967"</f>
        <v>10522018030117014382967</v>
      </c>
      <c r="B754" s="8" t="s">
        <v>20</v>
      </c>
      <c r="C754" s="9" t="str">
        <f t="shared" si="56"/>
        <v>女</v>
      </c>
      <c r="D754" s="9" t="str">
        <f>"341223199509180047"</f>
        <v>341223199509180047</v>
      </c>
      <c r="E754" s="14" t="str">
        <f t="shared" si="57"/>
        <v>助产</v>
      </c>
      <c r="F754" s="9" t="str">
        <f>"2018013513"</f>
        <v>2018013513</v>
      </c>
      <c r="G754" s="9">
        <v>63</v>
      </c>
      <c r="H754" s="9">
        <v>95</v>
      </c>
      <c r="I754" s="9">
        <f t="shared" si="53"/>
        <v>85.4</v>
      </c>
      <c r="J754" s="9"/>
      <c r="K754" s="3">
        <v>35</v>
      </c>
      <c r="L754" s="3">
        <v>13</v>
      </c>
    </row>
    <row r="755" spans="1:12" ht="18.75" customHeight="1">
      <c r="A755" s="3" t="str">
        <f>"10522018022614404881890"</f>
        <v>10522018022614404881890</v>
      </c>
      <c r="B755" s="8" t="s">
        <v>20</v>
      </c>
      <c r="C755" s="9" t="str">
        <f t="shared" si="56"/>
        <v>女</v>
      </c>
      <c r="D755" s="9" t="str">
        <f>"341225199703154005"</f>
        <v>341225199703154005</v>
      </c>
      <c r="E755" s="14" t="str">
        <f t="shared" si="57"/>
        <v>助产</v>
      </c>
      <c r="F755" s="9" t="str">
        <f>"2018013311"</f>
        <v>2018013311</v>
      </c>
      <c r="G755" s="9">
        <v>76</v>
      </c>
      <c r="H755" s="9">
        <v>88</v>
      </c>
      <c r="I755" s="9">
        <f t="shared" si="53"/>
        <v>84.399999999999991</v>
      </c>
      <c r="J755" s="9"/>
      <c r="K755" s="3">
        <v>33</v>
      </c>
      <c r="L755" s="3">
        <v>11</v>
      </c>
    </row>
    <row r="756" spans="1:12" ht="18.75" customHeight="1">
      <c r="A756" s="3" t="str">
        <f>"10522018022812530782571"</f>
        <v>10522018022812530782571</v>
      </c>
      <c r="B756" s="8" t="s">
        <v>20</v>
      </c>
      <c r="C756" s="9" t="str">
        <f t="shared" si="56"/>
        <v>女</v>
      </c>
      <c r="D756" s="9" t="str">
        <f>"341223199406130725"</f>
        <v>341223199406130725</v>
      </c>
      <c r="E756" s="14" t="str">
        <f t="shared" si="57"/>
        <v>助产</v>
      </c>
      <c r="F756" s="9" t="str">
        <f>"2018013327"</f>
        <v>2018013327</v>
      </c>
      <c r="G756" s="9">
        <v>55.5</v>
      </c>
      <c r="H756" s="9">
        <v>95</v>
      </c>
      <c r="I756" s="9">
        <f t="shared" si="53"/>
        <v>83.15</v>
      </c>
      <c r="J756" s="9"/>
      <c r="K756" s="3">
        <v>33</v>
      </c>
      <c r="L756" s="3">
        <v>27</v>
      </c>
    </row>
    <row r="757" spans="1:12" ht="18.75" customHeight="1">
      <c r="A757" s="3" t="str">
        <f>"10522018030113164582887"</f>
        <v>10522018030113164582887</v>
      </c>
      <c r="B757" s="8" t="s">
        <v>20</v>
      </c>
      <c r="C757" s="9" t="str">
        <f t="shared" si="56"/>
        <v>女</v>
      </c>
      <c r="D757" s="9" t="str">
        <f>"341223199507013704"</f>
        <v>341223199507013704</v>
      </c>
      <c r="E757" s="14" t="str">
        <f t="shared" si="57"/>
        <v>助产</v>
      </c>
      <c r="F757" s="9" t="str">
        <f>"2018013515"</f>
        <v>2018013515</v>
      </c>
      <c r="G757" s="9">
        <v>51</v>
      </c>
      <c r="H757" s="9">
        <v>93</v>
      </c>
      <c r="I757" s="9">
        <f t="shared" si="53"/>
        <v>80.399999999999991</v>
      </c>
      <c r="J757" s="9"/>
      <c r="K757" s="3">
        <v>35</v>
      </c>
      <c r="L757" s="3">
        <v>15</v>
      </c>
    </row>
    <row r="758" spans="1:12" ht="18.75" customHeight="1">
      <c r="A758" s="3" t="str">
        <f>"10522018022610321481683"</f>
        <v>10522018022610321481683</v>
      </c>
      <c r="B758" s="8" t="s">
        <v>20</v>
      </c>
      <c r="C758" s="9" t="str">
        <f t="shared" si="56"/>
        <v>女</v>
      </c>
      <c r="D758" s="9" t="str">
        <f>"341223199310020548"</f>
        <v>341223199310020548</v>
      </c>
      <c r="E758" s="14" t="str">
        <f t="shared" si="57"/>
        <v>助产</v>
      </c>
      <c r="F758" s="9" t="str">
        <f>"2018013504"</f>
        <v>2018013504</v>
      </c>
      <c r="G758" s="9">
        <v>50</v>
      </c>
      <c r="H758" s="9">
        <v>91</v>
      </c>
      <c r="I758" s="9">
        <f t="shared" si="53"/>
        <v>78.699999999999989</v>
      </c>
      <c r="J758" s="9"/>
      <c r="K758" s="3">
        <v>35</v>
      </c>
      <c r="L758" s="3">
        <v>4</v>
      </c>
    </row>
    <row r="759" spans="1:12" ht="18.75" customHeight="1">
      <c r="A759" s="3" t="str">
        <f>"10522018030112041582858"</f>
        <v>10522018030112041582858</v>
      </c>
      <c r="B759" s="8" t="s">
        <v>20</v>
      </c>
      <c r="C759" s="9" t="str">
        <f t="shared" si="56"/>
        <v>女</v>
      </c>
      <c r="D759" s="9" t="str">
        <f>"341224199702160028"</f>
        <v>341224199702160028</v>
      </c>
      <c r="E759" s="14" t="str">
        <f t="shared" si="57"/>
        <v>助产</v>
      </c>
      <c r="F759" s="9" t="str">
        <f>"2018013516"</f>
        <v>2018013516</v>
      </c>
      <c r="G759" s="9">
        <v>31.5</v>
      </c>
      <c r="H759" s="9">
        <v>95</v>
      </c>
      <c r="I759" s="9">
        <f t="shared" si="53"/>
        <v>75.95</v>
      </c>
      <c r="J759" s="9"/>
      <c r="K759" s="3">
        <v>35</v>
      </c>
      <c r="L759" s="3">
        <v>16</v>
      </c>
    </row>
    <row r="760" spans="1:12" ht="18.75" customHeight="1">
      <c r="A760" s="3" t="str">
        <f>"10522018022711124082193"</f>
        <v>10522018022711124082193</v>
      </c>
      <c r="B760" s="8" t="s">
        <v>20</v>
      </c>
      <c r="C760" s="9" t="str">
        <f t="shared" si="56"/>
        <v>女</v>
      </c>
      <c r="D760" s="9" t="str">
        <f>"341623199504268324"</f>
        <v>341623199504268324</v>
      </c>
      <c r="E760" s="14" t="str">
        <f t="shared" si="57"/>
        <v>助产</v>
      </c>
      <c r="F760" s="9" t="str">
        <f>"2018013413"</f>
        <v>2018013413</v>
      </c>
      <c r="G760" s="9">
        <v>45.5</v>
      </c>
      <c r="H760" s="9">
        <v>88</v>
      </c>
      <c r="I760" s="9">
        <f t="shared" si="53"/>
        <v>75.25</v>
      </c>
      <c r="J760" s="9"/>
      <c r="K760" s="3">
        <v>34</v>
      </c>
      <c r="L760" s="3">
        <v>13</v>
      </c>
    </row>
    <row r="761" spans="1:12" ht="18.75" customHeight="1">
      <c r="A761" s="3" t="str">
        <f>"10522018030119030783000"</f>
        <v>10522018030119030783000</v>
      </c>
      <c r="B761" s="8" t="s">
        <v>20</v>
      </c>
      <c r="C761" s="9" t="str">
        <f t="shared" si="56"/>
        <v>女</v>
      </c>
      <c r="D761" s="9" t="str">
        <f>"342222199706074029"</f>
        <v>342222199706074029</v>
      </c>
      <c r="E761" s="14" t="str">
        <f t="shared" si="57"/>
        <v>助产</v>
      </c>
      <c r="F761" s="9" t="str">
        <f>"2018013512"</f>
        <v>2018013512</v>
      </c>
      <c r="G761" s="9">
        <v>44</v>
      </c>
      <c r="H761" s="9">
        <v>88.5</v>
      </c>
      <c r="I761" s="9">
        <f t="shared" si="53"/>
        <v>75.149999999999991</v>
      </c>
      <c r="J761" s="9"/>
      <c r="K761" s="3">
        <v>35</v>
      </c>
      <c r="L761" s="3">
        <v>12</v>
      </c>
    </row>
    <row r="762" spans="1:12" ht="18.75" customHeight="1">
      <c r="A762" s="3" t="str">
        <f>"10522018022609265581609"</f>
        <v>10522018022609265581609</v>
      </c>
      <c r="B762" s="8" t="s">
        <v>20</v>
      </c>
      <c r="C762" s="9" t="str">
        <f t="shared" si="56"/>
        <v>女</v>
      </c>
      <c r="D762" s="9" t="str">
        <f>"341223199405102562"</f>
        <v>341223199405102562</v>
      </c>
      <c r="E762" s="14" t="str">
        <f t="shared" si="57"/>
        <v>助产</v>
      </c>
      <c r="F762" s="9" t="str">
        <f>"2018013503"</f>
        <v>2018013503</v>
      </c>
      <c r="G762" s="9">
        <v>37</v>
      </c>
      <c r="H762" s="9">
        <v>91</v>
      </c>
      <c r="I762" s="9">
        <f t="shared" si="53"/>
        <v>74.8</v>
      </c>
      <c r="J762" s="9"/>
      <c r="K762" s="3">
        <v>35</v>
      </c>
      <c r="L762" s="3">
        <v>3</v>
      </c>
    </row>
    <row r="763" spans="1:12" ht="18.75" customHeight="1">
      <c r="A763" s="3" t="str">
        <f>"10522018030112173482862"</f>
        <v>10522018030112173482862</v>
      </c>
      <c r="B763" s="8" t="s">
        <v>20</v>
      </c>
      <c r="C763" s="9" t="str">
        <f t="shared" si="56"/>
        <v>女</v>
      </c>
      <c r="D763" s="9" t="str">
        <f>"341623199401011040"</f>
        <v>341623199401011040</v>
      </c>
      <c r="E763" s="14" t="str">
        <f t="shared" si="57"/>
        <v>助产</v>
      </c>
      <c r="F763" s="9" t="str">
        <f>"2018013407"</f>
        <v>2018013407</v>
      </c>
      <c r="G763" s="9">
        <v>48.5</v>
      </c>
      <c r="H763" s="9">
        <v>86</v>
      </c>
      <c r="I763" s="9">
        <f t="shared" si="53"/>
        <v>74.75</v>
      </c>
      <c r="J763" s="9"/>
      <c r="K763" s="3">
        <v>34</v>
      </c>
      <c r="L763" s="3">
        <v>7</v>
      </c>
    </row>
    <row r="764" spans="1:12" ht="18.75" customHeight="1">
      <c r="A764" s="3" t="str">
        <f>"10522018022612204281785"</f>
        <v>10522018022612204281785</v>
      </c>
      <c r="B764" s="8" t="s">
        <v>20</v>
      </c>
      <c r="C764" s="9" t="str">
        <f t="shared" si="56"/>
        <v>女</v>
      </c>
      <c r="D764" s="9" t="str">
        <f>"341621199503201942"</f>
        <v>341621199503201942</v>
      </c>
      <c r="E764" s="14" t="str">
        <f t="shared" si="57"/>
        <v>助产</v>
      </c>
      <c r="F764" s="9" t="str">
        <f>"2018013426"</f>
        <v>2018013426</v>
      </c>
      <c r="G764" s="9">
        <v>61</v>
      </c>
      <c r="H764" s="9">
        <v>80</v>
      </c>
      <c r="I764" s="9">
        <f t="shared" si="53"/>
        <v>74.3</v>
      </c>
      <c r="J764" s="9"/>
      <c r="K764" s="3">
        <v>34</v>
      </c>
      <c r="L764" s="3">
        <v>26</v>
      </c>
    </row>
    <row r="765" spans="1:12" ht="18.75" customHeight="1">
      <c r="A765" s="3" t="str">
        <f>"10522018022617274981985"</f>
        <v>10522018022617274981985</v>
      </c>
      <c r="B765" s="8" t="s">
        <v>20</v>
      </c>
      <c r="C765" s="9" t="str">
        <f t="shared" si="56"/>
        <v>女</v>
      </c>
      <c r="D765" s="9" t="str">
        <f>"34122619971003522X"</f>
        <v>34122619971003522X</v>
      </c>
      <c r="E765" s="14" t="str">
        <f t="shared" si="57"/>
        <v>助产</v>
      </c>
      <c r="F765" s="9" t="str">
        <f>"2018013329"</f>
        <v>2018013329</v>
      </c>
      <c r="G765" s="9">
        <v>42</v>
      </c>
      <c r="H765" s="9">
        <v>88</v>
      </c>
      <c r="I765" s="9">
        <f t="shared" si="53"/>
        <v>74.199999999999989</v>
      </c>
      <c r="J765" s="9"/>
      <c r="K765" s="3">
        <v>33</v>
      </c>
      <c r="L765" s="3">
        <v>29</v>
      </c>
    </row>
    <row r="766" spans="1:12" ht="18.75" customHeight="1">
      <c r="A766" s="3" t="str">
        <f>"10522018022823172882773"</f>
        <v>10522018022823172882773</v>
      </c>
      <c r="B766" s="8" t="s">
        <v>20</v>
      </c>
      <c r="C766" s="9" t="str">
        <f t="shared" si="56"/>
        <v>女</v>
      </c>
      <c r="D766" s="9" t="str">
        <f>"341227199605207049"</f>
        <v>341227199605207049</v>
      </c>
      <c r="E766" s="14" t="str">
        <f t="shared" si="57"/>
        <v>助产</v>
      </c>
      <c r="F766" s="9" t="str">
        <f>"2018013519"</f>
        <v>2018013519</v>
      </c>
      <c r="G766" s="9">
        <v>39.5</v>
      </c>
      <c r="H766" s="9">
        <v>88</v>
      </c>
      <c r="I766" s="9">
        <f t="shared" si="53"/>
        <v>73.449999999999989</v>
      </c>
      <c r="J766" s="9"/>
      <c r="K766" s="3">
        <v>35</v>
      </c>
      <c r="L766" s="3">
        <v>19</v>
      </c>
    </row>
    <row r="767" spans="1:12" ht="18.75" customHeight="1">
      <c r="A767" s="3" t="str">
        <f>"10522018022614171481876"</f>
        <v>10522018022614171481876</v>
      </c>
      <c r="B767" s="8" t="s">
        <v>20</v>
      </c>
      <c r="C767" s="9" t="str">
        <f t="shared" si="56"/>
        <v>女</v>
      </c>
      <c r="D767" s="9" t="str">
        <f>"341223199405085125"</f>
        <v>341223199405085125</v>
      </c>
      <c r="E767" s="14" t="str">
        <f t="shared" si="57"/>
        <v>助产</v>
      </c>
      <c r="F767" s="9" t="str">
        <f>"2018013316"</f>
        <v>2018013316</v>
      </c>
      <c r="G767" s="9">
        <v>53</v>
      </c>
      <c r="H767" s="9">
        <v>81</v>
      </c>
      <c r="I767" s="9">
        <f t="shared" si="53"/>
        <v>72.599999999999994</v>
      </c>
      <c r="J767" s="9"/>
      <c r="K767" s="3">
        <v>33</v>
      </c>
      <c r="L767" s="3">
        <v>16</v>
      </c>
    </row>
    <row r="768" spans="1:12" ht="18.75" customHeight="1">
      <c r="A768" s="3" t="str">
        <f>"10522018022616195881950"</f>
        <v>10522018022616195881950</v>
      </c>
      <c r="B768" s="8" t="s">
        <v>20</v>
      </c>
      <c r="C768" s="9" t="str">
        <f t="shared" si="56"/>
        <v>女</v>
      </c>
      <c r="D768" s="9" t="str">
        <f>"341621199402024545"</f>
        <v>341621199402024545</v>
      </c>
      <c r="E768" s="14" t="str">
        <f t="shared" si="57"/>
        <v>助产</v>
      </c>
      <c r="F768" s="9" t="str">
        <f>"2018013511"</f>
        <v>2018013511</v>
      </c>
      <c r="G768" s="9">
        <v>53</v>
      </c>
      <c r="H768" s="9">
        <v>81</v>
      </c>
      <c r="I768" s="9">
        <f t="shared" si="53"/>
        <v>72.599999999999994</v>
      </c>
      <c r="J768" s="9"/>
      <c r="K768" s="3">
        <v>35</v>
      </c>
      <c r="L768" s="3">
        <v>11</v>
      </c>
    </row>
    <row r="769" spans="1:12" ht="18.75" customHeight="1">
      <c r="A769" s="3" t="str">
        <f>"10522018022718110682324"</f>
        <v>10522018022718110682324</v>
      </c>
      <c r="B769" s="8" t="s">
        <v>20</v>
      </c>
      <c r="C769" s="9" t="str">
        <f t="shared" si="56"/>
        <v>女</v>
      </c>
      <c r="D769" s="9" t="str">
        <f>"341204199307142246"</f>
        <v>341204199307142246</v>
      </c>
      <c r="E769" s="14" t="str">
        <f t="shared" si="57"/>
        <v>助产</v>
      </c>
      <c r="F769" s="9" t="str">
        <f>"2018013313"</f>
        <v>2018013313</v>
      </c>
      <c r="G769" s="9">
        <v>54.5</v>
      </c>
      <c r="H769" s="9">
        <v>79.5</v>
      </c>
      <c r="I769" s="9">
        <f t="shared" si="53"/>
        <v>72</v>
      </c>
      <c r="J769" s="9"/>
      <c r="K769" s="3">
        <v>33</v>
      </c>
      <c r="L769" s="3">
        <v>13</v>
      </c>
    </row>
    <row r="770" spans="1:12" ht="18.75" customHeight="1">
      <c r="A770" s="3" t="str">
        <f>"10522018022611445181768"</f>
        <v>10522018022611445181768</v>
      </c>
      <c r="B770" s="8" t="s">
        <v>20</v>
      </c>
      <c r="C770" s="9" t="str">
        <f t="shared" si="56"/>
        <v>女</v>
      </c>
      <c r="D770" s="9" t="str">
        <f>"341621199411131529"</f>
        <v>341621199411131529</v>
      </c>
      <c r="E770" s="14" t="str">
        <f t="shared" si="57"/>
        <v>助产</v>
      </c>
      <c r="F770" s="9" t="str">
        <f>"2018013411"</f>
        <v>2018013411</v>
      </c>
      <c r="G770" s="9">
        <v>41.5</v>
      </c>
      <c r="H770" s="9">
        <v>85</v>
      </c>
      <c r="I770" s="9">
        <f t="shared" si="53"/>
        <v>71.949999999999989</v>
      </c>
      <c r="J770" s="9"/>
      <c r="K770" s="3">
        <v>34</v>
      </c>
      <c r="L770" s="3">
        <v>11</v>
      </c>
    </row>
    <row r="771" spans="1:12" ht="18.75" customHeight="1">
      <c r="A771" s="3" t="str">
        <f>"10522018022710425082183"</f>
        <v>10522018022710425082183</v>
      </c>
      <c r="B771" s="8" t="s">
        <v>20</v>
      </c>
      <c r="C771" s="9" t="str">
        <f t="shared" si="56"/>
        <v>女</v>
      </c>
      <c r="D771" s="9" t="str">
        <f>"341623199412196765"</f>
        <v>341623199412196765</v>
      </c>
      <c r="E771" s="14" t="str">
        <f>"助产专业"</f>
        <v>助产专业</v>
      </c>
      <c r="F771" s="9" t="str">
        <f>"2018013420"</f>
        <v>2018013420</v>
      </c>
      <c r="G771" s="9">
        <v>56</v>
      </c>
      <c r="H771" s="9">
        <v>78</v>
      </c>
      <c r="I771" s="9">
        <f t="shared" ref="I771:I834" si="58">G771*0.3+H771*0.7</f>
        <v>71.399999999999991</v>
      </c>
      <c r="J771" s="9"/>
      <c r="K771" s="3">
        <v>34</v>
      </c>
      <c r="L771" s="3">
        <v>20</v>
      </c>
    </row>
    <row r="772" spans="1:12" ht="18.75" customHeight="1">
      <c r="A772" s="3" t="str">
        <f>"10522018022812504282569"</f>
        <v>10522018022812504282569</v>
      </c>
      <c r="B772" s="8" t="s">
        <v>20</v>
      </c>
      <c r="C772" s="9" t="str">
        <f t="shared" si="56"/>
        <v>女</v>
      </c>
      <c r="D772" s="9" t="str">
        <f>"341621199510260027"</f>
        <v>341621199510260027</v>
      </c>
      <c r="E772" s="14" t="str">
        <f t="shared" ref="E772:E803" si="59">"助产"</f>
        <v>助产</v>
      </c>
      <c r="F772" s="9" t="str">
        <f>"2018013417"</f>
        <v>2018013417</v>
      </c>
      <c r="G772" s="9">
        <v>61</v>
      </c>
      <c r="H772" s="9">
        <v>75</v>
      </c>
      <c r="I772" s="9">
        <f t="shared" si="58"/>
        <v>70.8</v>
      </c>
      <c r="J772" s="9"/>
      <c r="K772" s="3">
        <v>34</v>
      </c>
      <c r="L772" s="3">
        <v>17</v>
      </c>
    </row>
    <row r="773" spans="1:12" ht="18.75" customHeight="1">
      <c r="A773" s="3" t="str">
        <f>"10522018022707575382122"</f>
        <v>10522018022707575382122</v>
      </c>
      <c r="B773" s="8" t="s">
        <v>20</v>
      </c>
      <c r="C773" s="9" t="str">
        <f t="shared" si="56"/>
        <v>女</v>
      </c>
      <c r="D773" s="9" t="str">
        <f>"341281199604228620"</f>
        <v>341281199604228620</v>
      </c>
      <c r="E773" s="14" t="str">
        <f t="shared" si="59"/>
        <v>助产</v>
      </c>
      <c r="F773" s="9" t="str">
        <f>"2018013318"</f>
        <v>2018013318</v>
      </c>
      <c r="G773" s="9">
        <v>41.5</v>
      </c>
      <c r="H773" s="9">
        <v>83</v>
      </c>
      <c r="I773" s="9">
        <f t="shared" si="58"/>
        <v>70.55</v>
      </c>
      <c r="J773" s="9"/>
      <c r="K773" s="3">
        <v>33</v>
      </c>
      <c r="L773" s="3">
        <v>18</v>
      </c>
    </row>
    <row r="774" spans="1:12" ht="18.75" customHeight="1">
      <c r="A774" s="3" t="str">
        <f>"10522018022715365582285"</f>
        <v>10522018022715365582285</v>
      </c>
      <c r="B774" s="8" t="s">
        <v>20</v>
      </c>
      <c r="C774" s="9" t="str">
        <f t="shared" si="56"/>
        <v>女</v>
      </c>
      <c r="D774" s="9" t="str">
        <f>"341221199605113167"</f>
        <v>341221199605113167</v>
      </c>
      <c r="E774" s="14" t="str">
        <f t="shared" si="59"/>
        <v>助产</v>
      </c>
      <c r="F774" s="9" t="str">
        <f>"2018013506"</f>
        <v>2018013506</v>
      </c>
      <c r="G774" s="9">
        <v>47</v>
      </c>
      <c r="H774" s="9">
        <v>80</v>
      </c>
      <c r="I774" s="9">
        <f t="shared" si="58"/>
        <v>70.099999999999994</v>
      </c>
      <c r="J774" s="9"/>
      <c r="K774" s="3">
        <v>35</v>
      </c>
      <c r="L774" s="3">
        <v>6</v>
      </c>
    </row>
    <row r="775" spans="1:12" ht="18.75" customHeight="1">
      <c r="A775" s="3" t="str">
        <f>"10522018030120412583021"</f>
        <v>10522018030120412583021</v>
      </c>
      <c r="B775" s="8" t="s">
        <v>20</v>
      </c>
      <c r="C775" s="9" t="str">
        <f t="shared" si="56"/>
        <v>女</v>
      </c>
      <c r="D775" s="9" t="str">
        <f>"341222199611239424"</f>
        <v>341222199611239424</v>
      </c>
      <c r="E775" s="14" t="str">
        <f t="shared" si="59"/>
        <v>助产</v>
      </c>
      <c r="F775" s="9" t="str">
        <f>"2018013509"</f>
        <v>2018013509</v>
      </c>
      <c r="G775" s="9">
        <v>47</v>
      </c>
      <c r="H775" s="9">
        <v>80</v>
      </c>
      <c r="I775" s="9">
        <f t="shared" si="58"/>
        <v>70.099999999999994</v>
      </c>
      <c r="J775" s="9"/>
      <c r="K775" s="3">
        <v>35</v>
      </c>
      <c r="L775" s="3">
        <v>9</v>
      </c>
    </row>
    <row r="776" spans="1:12" ht="18.75" customHeight="1">
      <c r="A776" s="3" t="str">
        <f>"10522018030212042283120"</f>
        <v>10522018030212042283120</v>
      </c>
      <c r="B776" s="8" t="s">
        <v>20</v>
      </c>
      <c r="C776" s="9" t="str">
        <f t="shared" si="56"/>
        <v>女</v>
      </c>
      <c r="D776" s="9" t="str">
        <f>"341621199408183125"</f>
        <v>341621199408183125</v>
      </c>
      <c r="E776" s="14" t="str">
        <f t="shared" si="59"/>
        <v>助产</v>
      </c>
      <c r="F776" s="9" t="str">
        <f>"2018013315"</f>
        <v>2018013315</v>
      </c>
      <c r="G776" s="9">
        <v>39</v>
      </c>
      <c r="H776" s="9">
        <v>83</v>
      </c>
      <c r="I776" s="9">
        <f t="shared" si="58"/>
        <v>69.8</v>
      </c>
      <c r="J776" s="9"/>
      <c r="K776" s="3">
        <v>33</v>
      </c>
      <c r="L776" s="3">
        <v>15</v>
      </c>
    </row>
    <row r="777" spans="1:12" ht="18.75" customHeight="1">
      <c r="A777" s="3" t="str">
        <f>"10522018030114352382915"</f>
        <v>10522018030114352382915</v>
      </c>
      <c r="B777" s="8" t="s">
        <v>20</v>
      </c>
      <c r="C777" s="9" t="str">
        <f t="shared" si="56"/>
        <v>女</v>
      </c>
      <c r="D777" s="9" t="str">
        <f>"34128119940124046X"</f>
        <v>34128119940124046X</v>
      </c>
      <c r="E777" s="14" t="str">
        <f t="shared" si="59"/>
        <v>助产</v>
      </c>
      <c r="F777" s="9" t="str">
        <f>"2018013416"</f>
        <v>2018013416</v>
      </c>
      <c r="G777" s="9">
        <v>43.5</v>
      </c>
      <c r="H777" s="9">
        <v>81</v>
      </c>
      <c r="I777" s="9">
        <f t="shared" si="58"/>
        <v>69.75</v>
      </c>
      <c r="J777" s="9"/>
      <c r="K777" s="3">
        <v>34</v>
      </c>
      <c r="L777" s="3">
        <v>16</v>
      </c>
    </row>
    <row r="778" spans="1:12" ht="18.75" customHeight="1">
      <c r="A778" s="3" t="str">
        <f>"10522018022611254581759"</f>
        <v>10522018022611254581759</v>
      </c>
      <c r="B778" s="8" t="s">
        <v>20</v>
      </c>
      <c r="C778" s="9" t="str">
        <f t="shared" si="56"/>
        <v>女</v>
      </c>
      <c r="D778" s="9" t="str">
        <f>"342126199305303441"</f>
        <v>342126199305303441</v>
      </c>
      <c r="E778" s="14" t="str">
        <f t="shared" si="59"/>
        <v>助产</v>
      </c>
      <c r="F778" s="9" t="str">
        <f>"2018013517"</f>
        <v>2018013517</v>
      </c>
      <c r="G778" s="9">
        <v>47.5</v>
      </c>
      <c r="H778" s="9">
        <v>79</v>
      </c>
      <c r="I778" s="9">
        <f t="shared" si="58"/>
        <v>69.55</v>
      </c>
      <c r="J778" s="9"/>
      <c r="K778" s="3">
        <v>35</v>
      </c>
      <c r="L778" s="3">
        <v>17</v>
      </c>
    </row>
    <row r="779" spans="1:12" ht="18.75" customHeight="1">
      <c r="A779" s="3" t="str">
        <f>"10522018022611013181729"</f>
        <v>10522018022611013181729</v>
      </c>
      <c r="B779" s="8" t="s">
        <v>20</v>
      </c>
      <c r="C779" s="9" t="str">
        <f t="shared" si="56"/>
        <v>女</v>
      </c>
      <c r="D779" s="9" t="str">
        <f>"341623199304273727"</f>
        <v>341623199304273727</v>
      </c>
      <c r="E779" s="14" t="str">
        <f t="shared" si="59"/>
        <v>助产</v>
      </c>
      <c r="F779" s="9" t="str">
        <f>"2018013322"</f>
        <v>2018013322</v>
      </c>
      <c r="G779" s="9">
        <v>42</v>
      </c>
      <c r="H779" s="9">
        <v>81</v>
      </c>
      <c r="I779" s="9">
        <f t="shared" si="58"/>
        <v>69.3</v>
      </c>
      <c r="J779" s="9"/>
      <c r="K779" s="3">
        <v>33</v>
      </c>
      <c r="L779" s="3">
        <v>22</v>
      </c>
    </row>
    <row r="780" spans="1:12" ht="18.75" customHeight="1">
      <c r="A780" s="3" t="str">
        <f>"10522018022722093882439"</f>
        <v>10522018022722093882439</v>
      </c>
      <c r="B780" s="8" t="s">
        <v>20</v>
      </c>
      <c r="C780" s="9" t="str">
        <f t="shared" si="56"/>
        <v>女</v>
      </c>
      <c r="D780" s="9" t="str">
        <f>"341204199410022103"</f>
        <v>341204199410022103</v>
      </c>
      <c r="E780" s="14" t="str">
        <f t="shared" si="59"/>
        <v>助产</v>
      </c>
      <c r="F780" s="9" t="str">
        <f>"2018013520"</f>
        <v>2018013520</v>
      </c>
      <c r="G780" s="9">
        <v>46.5</v>
      </c>
      <c r="H780" s="9">
        <v>79</v>
      </c>
      <c r="I780" s="9">
        <f t="shared" si="58"/>
        <v>69.25</v>
      </c>
      <c r="J780" s="9"/>
      <c r="K780" s="3">
        <v>35</v>
      </c>
      <c r="L780" s="3">
        <v>20</v>
      </c>
    </row>
    <row r="781" spans="1:12" ht="18.75" customHeight="1">
      <c r="A781" s="3" t="str">
        <f>"10522018022719464982379"</f>
        <v>10522018022719464982379</v>
      </c>
      <c r="B781" s="8" t="s">
        <v>20</v>
      </c>
      <c r="C781" s="9" t="str">
        <f t="shared" si="56"/>
        <v>女</v>
      </c>
      <c r="D781" s="9" t="str">
        <f>"341621199410065320"</f>
        <v>341621199410065320</v>
      </c>
      <c r="E781" s="14" t="str">
        <f t="shared" si="59"/>
        <v>助产</v>
      </c>
      <c r="F781" s="9" t="str">
        <f>"2018013422"</f>
        <v>2018013422</v>
      </c>
      <c r="G781" s="9">
        <v>41.5</v>
      </c>
      <c r="H781" s="9">
        <v>81</v>
      </c>
      <c r="I781" s="9">
        <f t="shared" si="58"/>
        <v>69.149999999999991</v>
      </c>
      <c r="J781" s="9"/>
      <c r="K781" s="3">
        <v>34</v>
      </c>
      <c r="L781" s="3">
        <v>22</v>
      </c>
    </row>
    <row r="782" spans="1:12" ht="18.75" customHeight="1">
      <c r="A782" s="3" t="str">
        <f>"10522018022820564382735"</f>
        <v>10522018022820564382735</v>
      </c>
      <c r="B782" s="8" t="s">
        <v>20</v>
      </c>
      <c r="C782" s="9" t="str">
        <f t="shared" si="56"/>
        <v>女</v>
      </c>
      <c r="D782" s="9" t="str">
        <f>"34120419931102084X"</f>
        <v>34120419931102084X</v>
      </c>
      <c r="E782" s="14" t="str">
        <f t="shared" si="59"/>
        <v>助产</v>
      </c>
      <c r="F782" s="9" t="str">
        <f>"2018013308"</f>
        <v>2018013308</v>
      </c>
      <c r="G782" s="9">
        <v>38.5</v>
      </c>
      <c r="H782" s="9">
        <v>81</v>
      </c>
      <c r="I782" s="9">
        <f t="shared" si="58"/>
        <v>68.25</v>
      </c>
      <c r="J782" s="9"/>
      <c r="K782" s="3">
        <v>33</v>
      </c>
      <c r="L782" s="3">
        <v>8</v>
      </c>
    </row>
    <row r="783" spans="1:12" ht="18.75" customHeight="1">
      <c r="A783" s="3" t="str">
        <f>"10522018022612361381798"</f>
        <v>10522018022612361381798</v>
      </c>
      <c r="B783" s="8" t="s">
        <v>20</v>
      </c>
      <c r="C783" s="9" t="str">
        <f t="shared" si="56"/>
        <v>女</v>
      </c>
      <c r="D783" s="9" t="str">
        <f>"341281199601230020"</f>
        <v>341281199601230020</v>
      </c>
      <c r="E783" s="14" t="str">
        <f t="shared" si="59"/>
        <v>助产</v>
      </c>
      <c r="F783" s="9" t="str">
        <f>"2018013323"</f>
        <v>2018013323</v>
      </c>
      <c r="G783" s="9">
        <v>34.5</v>
      </c>
      <c r="H783" s="9">
        <v>82</v>
      </c>
      <c r="I783" s="9">
        <f t="shared" si="58"/>
        <v>67.75</v>
      </c>
      <c r="J783" s="9"/>
      <c r="K783" s="3">
        <v>33</v>
      </c>
      <c r="L783" s="3">
        <v>23</v>
      </c>
    </row>
    <row r="784" spans="1:12" ht="18.75" customHeight="1">
      <c r="A784" s="3" t="str">
        <f>"10522018030215012683175"</f>
        <v>10522018030215012683175</v>
      </c>
      <c r="B784" s="8" t="s">
        <v>20</v>
      </c>
      <c r="C784" s="9" t="str">
        <f t="shared" si="56"/>
        <v>女</v>
      </c>
      <c r="D784" s="9" t="str">
        <f>"341227199309138026"</f>
        <v>341227199309138026</v>
      </c>
      <c r="E784" s="14" t="str">
        <f t="shared" si="59"/>
        <v>助产</v>
      </c>
      <c r="F784" s="9" t="str">
        <f>"2018013401"</f>
        <v>2018013401</v>
      </c>
      <c r="G784" s="9">
        <v>48.5</v>
      </c>
      <c r="H784" s="9">
        <v>76</v>
      </c>
      <c r="I784" s="9">
        <f t="shared" si="58"/>
        <v>67.75</v>
      </c>
      <c r="J784" s="9"/>
      <c r="K784" s="3">
        <v>34</v>
      </c>
      <c r="L784" s="3">
        <v>1</v>
      </c>
    </row>
    <row r="785" spans="1:12" ht="18.75" customHeight="1">
      <c r="A785" s="3" t="str">
        <f>"10522018022822294282764"</f>
        <v>10522018022822294282764</v>
      </c>
      <c r="B785" s="8" t="s">
        <v>20</v>
      </c>
      <c r="C785" s="9" t="str">
        <f t="shared" ref="C785:C816" si="60">"女"</f>
        <v>女</v>
      </c>
      <c r="D785" s="9" t="str">
        <f>"341623199412090020"</f>
        <v>341623199412090020</v>
      </c>
      <c r="E785" s="14" t="str">
        <f t="shared" si="59"/>
        <v>助产</v>
      </c>
      <c r="F785" s="9" t="str">
        <f>"2018013427"</f>
        <v>2018013427</v>
      </c>
      <c r="G785" s="9">
        <v>39</v>
      </c>
      <c r="H785" s="9">
        <v>80</v>
      </c>
      <c r="I785" s="9">
        <f t="shared" si="58"/>
        <v>67.7</v>
      </c>
      <c r="J785" s="9"/>
      <c r="K785" s="3">
        <v>34</v>
      </c>
      <c r="L785" s="3">
        <v>27</v>
      </c>
    </row>
    <row r="786" spans="1:12" ht="18.75" customHeight="1">
      <c r="A786" s="3" t="str">
        <f>"10522018030208571883077"</f>
        <v>10522018030208571883077</v>
      </c>
      <c r="B786" s="8" t="s">
        <v>20</v>
      </c>
      <c r="C786" s="9" t="str">
        <f t="shared" si="60"/>
        <v>女</v>
      </c>
      <c r="D786" s="9" t="str">
        <f>"341281199603048628"</f>
        <v>341281199603048628</v>
      </c>
      <c r="E786" s="14" t="str">
        <f t="shared" si="59"/>
        <v>助产</v>
      </c>
      <c r="F786" s="9" t="str">
        <f>"2018013406"</f>
        <v>2018013406</v>
      </c>
      <c r="G786" s="9">
        <v>40</v>
      </c>
      <c r="H786" s="9">
        <v>79</v>
      </c>
      <c r="I786" s="9">
        <f t="shared" si="58"/>
        <v>67.3</v>
      </c>
      <c r="J786" s="9"/>
      <c r="K786" s="3">
        <v>34</v>
      </c>
      <c r="L786" s="3">
        <v>6</v>
      </c>
    </row>
    <row r="787" spans="1:12" ht="18.75" customHeight="1">
      <c r="A787" s="3" t="str">
        <f>"10522018022610050281646"</f>
        <v>10522018022610050281646</v>
      </c>
      <c r="B787" s="8" t="s">
        <v>20</v>
      </c>
      <c r="C787" s="9" t="str">
        <f t="shared" si="60"/>
        <v>女</v>
      </c>
      <c r="D787" s="9" t="str">
        <f>"341602199510020825"</f>
        <v>341602199510020825</v>
      </c>
      <c r="E787" s="14" t="str">
        <f t="shared" si="59"/>
        <v>助产</v>
      </c>
      <c r="F787" s="9" t="str">
        <f>"2018013514"</f>
        <v>2018013514</v>
      </c>
      <c r="G787" s="9">
        <v>62.5</v>
      </c>
      <c r="H787" s="9">
        <v>69</v>
      </c>
      <c r="I787" s="9">
        <f t="shared" si="58"/>
        <v>67.05</v>
      </c>
      <c r="J787" s="9"/>
      <c r="K787" s="3">
        <v>35</v>
      </c>
      <c r="L787" s="3">
        <v>14</v>
      </c>
    </row>
    <row r="788" spans="1:12" ht="18.75" customHeight="1">
      <c r="A788" s="3" t="str">
        <f>"10522018022812594182575"</f>
        <v>10522018022812594182575</v>
      </c>
      <c r="B788" s="8" t="s">
        <v>20</v>
      </c>
      <c r="C788" s="9" t="str">
        <f t="shared" si="60"/>
        <v>女</v>
      </c>
      <c r="D788" s="9" t="str">
        <f>"341224199406020522"</f>
        <v>341224199406020522</v>
      </c>
      <c r="E788" s="14" t="str">
        <f t="shared" si="59"/>
        <v>助产</v>
      </c>
      <c r="F788" s="9" t="str">
        <f>"2018013302"</f>
        <v>2018013302</v>
      </c>
      <c r="G788" s="9">
        <v>27.5</v>
      </c>
      <c r="H788" s="9">
        <v>83</v>
      </c>
      <c r="I788" s="9">
        <f t="shared" si="58"/>
        <v>66.349999999999994</v>
      </c>
      <c r="J788" s="9"/>
      <c r="K788" s="3">
        <v>33</v>
      </c>
      <c r="L788" s="3">
        <v>2</v>
      </c>
    </row>
    <row r="789" spans="1:12" ht="18.75" customHeight="1">
      <c r="A789" s="3" t="str">
        <f>"10522018030113210782890"</f>
        <v>10522018030113210782890</v>
      </c>
      <c r="B789" s="8" t="s">
        <v>20</v>
      </c>
      <c r="C789" s="9" t="str">
        <f t="shared" si="60"/>
        <v>女</v>
      </c>
      <c r="D789" s="9" t="str">
        <f>"341621199708161921"</f>
        <v>341621199708161921</v>
      </c>
      <c r="E789" s="14" t="str">
        <f t="shared" si="59"/>
        <v>助产</v>
      </c>
      <c r="F789" s="9" t="str">
        <f>"2018013324"</f>
        <v>2018013324</v>
      </c>
      <c r="G789" s="9">
        <v>37.5</v>
      </c>
      <c r="H789" s="9">
        <v>78</v>
      </c>
      <c r="I789" s="9">
        <f t="shared" si="58"/>
        <v>65.849999999999994</v>
      </c>
      <c r="J789" s="9"/>
      <c r="K789" s="3">
        <v>33</v>
      </c>
      <c r="L789" s="3">
        <v>24</v>
      </c>
    </row>
    <row r="790" spans="1:12" ht="18.75" customHeight="1">
      <c r="A790" s="3" t="str">
        <f>"10522018022720503682407"</f>
        <v>10522018022720503682407</v>
      </c>
      <c r="B790" s="8" t="s">
        <v>20</v>
      </c>
      <c r="C790" s="9" t="str">
        <f t="shared" si="60"/>
        <v>女</v>
      </c>
      <c r="D790" s="9" t="str">
        <f>"341227199312263020"</f>
        <v>341227199312263020</v>
      </c>
      <c r="E790" s="14" t="str">
        <f t="shared" si="59"/>
        <v>助产</v>
      </c>
      <c r="F790" s="9" t="str">
        <f>"2018013306"</f>
        <v>2018013306</v>
      </c>
      <c r="G790" s="9">
        <v>54</v>
      </c>
      <c r="H790" s="9">
        <v>70</v>
      </c>
      <c r="I790" s="9">
        <f t="shared" si="58"/>
        <v>65.2</v>
      </c>
      <c r="J790" s="9"/>
      <c r="K790" s="3">
        <v>33</v>
      </c>
      <c r="L790" s="3">
        <v>6</v>
      </c>
    </row>
    <row r="791" spans="1:12" ht="18.75" customHeight="1">
      <c r="A791" s="3" t="str">
        <f>"10522018022718563282345"</f>
        <v>10522018022718563282345</v>
      </c>
      <c r="B791" s="8" t="s">
        <v>20</v>
      </c>
      <c r="C791" s="9" t="str">
        <f t="shared" si="60"/>
        <v>女</v>
      </c>
      <c r="D791" s="9" t="str">
        <f>"341221199308192380"</f>
        <v>341221199308192380</v>
      </c>
      <c r="E791" s="14" t="str">
        <f t="shared" si="59"/>
        <v>助产</v>
      </c>
      <c r="F791" s="9" t="str">
        <f>"2018013317"</f>
        <v>2018013317</v>
      </c>
      <c r="G791" s="9">
        <v>36.5</v>
      </c>
      <c r="H791" s="9">
        <v>76</v>
      </c>
      <c r="I791" s="9">
        <f t="shared" si="58"/>
        <v>64.149999999999991</v>
      </c>
      <c r="J791" s="9"/>
      <c r="K791" s="3">
        <v>33</v>
      </c>
      <c r="L791" s="3">
        <v>17</v>
      </c>
    </row>
    <row r="792" spans="1:12" ht="18.75" customHeight="1">
      <c r="A792" s="3" t="str">
        <f>"10522018022718434982332"</f>
        <v>10522018022718434982332</v>
      </c>
      <c r="B792" s="8" t="s">
        <v>20</v>
      </c>
      <c r="C792" s="9" t="str">
        <f t="shared" si="60"/>
        <v>女</v>
      </c>
      <c r="D792" s="9" t="str">
        <f>"341223199602125341"</f>
        <v>341223199602125341</v>
      </c>
      <c r="E792" s="14" t="str">
        <f t="shared" si="59"/>
        <v>助产</v>
      </c>
      <c r="F792" s="9" t="str">
        <f>"2018013403"</f>
        <v>2018013403</v>
      </c>
      <c r="G792" s="9">
        <v>44</v>
      </c>
      <c r="H792" s="9">
        <v>71</v>
      </c>
      <c r="I792" s="9">
        <f t="shared" si="58"/>
        <v>62.899999999999991</v>
      </c>
      <c r="J792" s="9"/>
      <c r="K792" s="3">
        <v>34</v>
      </c>
      <c r="L792" s="3">
        <v>3</v>
      </c>
    </row>
    <row r="793" spans="1:12" ht="18.75" customHeight="1">
      <c r="A793" s="3" t="str">
        <f>"10522018022720525982409"</f>
        <v>10522018022720525982409</v>
      </c>
      <c r="B793" s="8" t="s">
        <v>20</v>
      </c>
      <c r="C793" s="9" t="str">
        <f t="shared" si="60"/>
        <v>女</v>
      </c>
      <c r="D793" s="9" t="str">
        <f>"341221199906040221"</f>
        <v>341221199906040221</v>
      </c>
      <c r="E793" s="14" t="str">
        <f t="shared" si="59"/>
        <v>助产</v>
      </c>
      <c r="F793" s="9" t="str">
        <f>"2018013309"</f>
        <v>2018013309</v>
      </c>
      <c r="G793" s="9">
        <v>42.5</v>
      </c>
      <c r="H793" s="9">
        <v>71</v>
      </c>
      <c r="I793" s="9">
        <f t="shared" si="58"/>
        <v>62.449999999999996</v>
      </c>
      <c r="J793" s="9"/>
      <c r="K793" s="3">
        <v>33</v>
      </c>
      <c r="L793" s="3">
        <v>9</v>
      </c>
    </row>
    <row r="794" spans="1:12" ht="18.75" customHeight="1">
      <c r="A794" s="3" t="str">
        <f>"10522018022609082681581"</f>
        <v>10522018022609082681581</v>
      </c>
      <c r="B794" s="8" t="s">
        <v>20</v>
      </c>
      <c r="C794" s="9" t="str">
        <f t="shared" si="60"/>
        <v>女</v>
      </c>
      <c r="D794" s="9" t="str">
        <f>"341223199710152320"</f>
        <v>341223199710152320</v>
      </c>
      <c r="E794" s="14" t="str">
        <f t="shared" si="59"/>
        <v>助产</v>
      </c>
      <c r="F794" s="9" t="str">
        <f>"2018013310"</f>
        <v>2018013310</v>
      </c>
      <c r="G794" s="9">
        <v>34.5</v>
      </c>
      <c r="H794" s="9">
        <v>73.5</v>
      </c>
      <c r="I794" s="9">
        <f t="shared" si="58"/>
        <v>61.8</v>
      </c>
      <c r="J794" s="9"/>
      <c r="K794" s="3">
        <v>33</v>
      </c>
      <c r="L794" s="3">
        <v>10</v>
      </c>
    </row>
    <row r="795" spans="1:12" ht="18.75" customHeight="1">
      <c r="A795" s="3" t="str">
        <f>"10522018022721023282412"</f>
        <v>10522018022721023282412</v>
      </c>
      <c r="B795" s="8" t="s">
        <v>20</v>
      </c>
      <c r="C795" s="9" t="str">
        <f t="shared" si="60"/>
        <v>女</v>
      </c>
      <c r="D795" s="9" t="str">
        <f>"341281199401013486"</f>
        <v>341281199401013486</v>
      </c>
      <c r="E795" s="14" t="str">
        <f t="shared" si="59"/>
        <v>助产</v>
      </c>
      <c r="F795" s="9" t="str">
        <f>"2018013508"</f>
        <v>2018013508</v>
      </c>
      <c r="G795" s="9">
        <v>42.5</v>
      </c>
      <c r="H795" s="9">
        <v>70</v>
      </c>
      <c r="I795" s="9">
        <f t="shared" si="58"/>
        <v>61.75</v>
      </c>
      <c r="J795" s="9"/>
      <c r="K795" s="3">
        <v>35</v>
      </c>
      <c r="L795" s="3">
        <v>8</v>
      </c>
    </row>
    <row r="796" spans="1:12" ht="18.75" customHeight="1">
      <c r="A796" s="3" t="str">
        <f>"10522018022819210282707"</f>
        <v>10522018022819210282707</v>
      </c>
      <c r="B796" s="8" t="s">
        <v>20</v>
      </c>
      <c r="C796" s="9" t="str">
        <f t="shared" si="60"/>
        <v>女</v>
      </c>
      <c r="D796" s="9" t="str">
        <f>"341222199509183882"</f>
        <v>341222199509183882</v>
      </c>
      <c r="E796" s="14" t="str">
        <f t="shared" si="59"/>
        <v>助产</v>
      </c>
      <c r="F796" s="9" t="str">
        <f>"2018013404"</f>
        <v>2018013404</v>
      </c>
      <c r="G796" s="9">
        <v>47.5</v>
      </c>
      <c r="H796" s="9">
        <v>67</v>
      </c>
      <c r="I796" s="9">
        <f t="shared" si="58"/>
        <v>61.15</v>
      </c>
      <c r="J796" s="9"/>
      <c r="K796" s="3">
        <v>34</v>
      </c>
      <c r="L796" s="3">
        <v>4</v>
      </c>
    </row>
    <row r="797" spans="1:12" ht="18.75" customHeight="1">
      <c r="A797" s="3" t="str">
        <f>"10522018022713573182245"</f>
        <v>10522018022713573182245</v>
      </c>
      <c r="B797" s="8" t="s">
        <v>20</v>
      </c>
      <c r="C797" s="9" t="str">
        <f t="shared" si="60"/>
        <v>女</v>
      </c>
      <c r="D797" s="9" t="str">
        <f>"34162319960217564X"</f>
        <v>34162319960217564X</v>
      </c>
      <c r="E797" s="14" t="str">
        <f t="shared" si="59"/>
        <v>助产</v>
      </c>
      <c r="F797" s="9" t="str">
        <f>"2018013412"</f>
        <v>2018013412</v>
      </c>
      <c r="G797" s="9">
        <v>31.5</v>
      </c>
      <c r="H797" s="9">
        <v>73</v>
      </c>
      <c r="I797" s="9">
        <f t="shared" si="58"/>
        <v>60.55</v>
      </c>
      <c r="J797" s="9"/>
      <c r="K797" s="3">
        <v>34</v>
      </c>
      <c r="L797" s="3">
        <v>12</v>
      </c>
    </row>
    <row r="798" spans="1:12" ht="18.75" customHeight="1">
      <c r="A798" s="3" t="str">
        <f>"10522018022616352981961"</f>
        <v>10522018022616352981961</v>
      </c>
      <c r="B798" s="8" t="s">
        <v>20</v>
      </c>
      <c r="C798" s="9" t="str">
        <f t="shared" si="60"/>
        <v>女</v>
      </c>
      <c r="D798" s="9" t="str">
        <f>"341281199610153223"</f>
        <v>341281199610153223</v>
      </c>
      <c r="E798" s="14" t="str">
        <f t="shared" si="59"/>
        <v>助产</v>
      </c>
      <c r="F798" s="9" t="str">
        <f>"2018013328"</f>
        <v>2018013328</v>
      </c>
      <c r="G798" s="9">
        <v>39.5</v>
      </c>
      <c r="H798" s="9">
        <v>69</v>
      </c>
      <c r="I798" s="9">
        <f t="shared" si="58"/>
        <v>60.15</v>
      </c>
      <c r="J798" s="9"/>
      <c r="K798" s="3">
        <v>33</v>
      </c>
      <c r="L798" s="3">
        <v>28</v>
      </c>
    </row>
    <row r="799" spans="1:12" ht="18.75" customHeight="1">
      <c r="A799" s="3" t="str">
        <f>"10522018022814105582611"</f>
        <v>10522018022814105582611</v>
      </c>
      <c r="B799" s="8" t="s">
        <v>20</v>
      </c>
      <c r="C799" s="9" t="str">
        <f t="shared" si="60"/>
        <v>女</v>
      </c>
      <c r="D799" s="9" t="str">
        <f>"341227199511036429"</f>
        <v>341227199511036429</v>
      </c>
      <c r="E799" s="14" t="str">
        <f t="shared" si="59"/>
        <v>助产</v>
      </c>
      <c r="F799" s="9" t="str">
        <f>"2018013321"</f>
        <v>2018013321</v>
      </c>
      <c r="G799" s="9">
        <v>50</v>
      </c>
      <c r="H799" s="9">
        <v>63.5</v>
      </c>
      <c r="I799" s="9">
        <f t="shared" si="58"/>
        <v>59.449999999999996</v>
      </c>
      <c r="J799" s="9"/>
      <c r="K799" s="3">
        <v>33</v>
      </c>
      <c r="L799" s="3">
        <v>21</v>
      </c>
    </row>
    <row r="800" spans="1:12" ht="18.75" customHeight="1">
      <c r="A800" s="3" t="str">
        <f>"10522018022814435082620"</f>
        <v>10522018022814435082620</v>
      </c>
      <c r="B800" s="8" t="s">
        <v>20</v>
      </c>
      <c r="C800" s="9" t="str">
        <f t="shared" si="60"/>
        <v>女</v>
      </c>
      <c r="D800" s="9" t="str">
        <f>"341623199604109021"</f>
        <v>341623199604109021</v>
      </c>
      <c r="E800" s="14" t="str">
        <f t="shared" si="59"/>
        <v>助产</v>
      </c>
      <c r="F800" s="9" t="str">
        <f>"2018013425"</f>
        <v>2018013425</v>
      </c>
      <c r="G800" s="9">
        <v>39.5</v>
      </c>
      <c r="H800" s="9">
        <v>68</v>
      </c>
      <c r="I800" s="9">
        <f t="shared" si="58"/>
        <v>59.449999999999996</v>
      </c>
      <c r="J800" s="9"/>
      <c r="K800" s="3">
        <v>34</v>
      </c>
      <c r="L800" s="3">
        <v>25</v>
      </c>
    </row>
    <row r="801" spans="1:12" ht="18.75" customHeight="1">
      <c r="A801" s="3" t="str">
        <f>"10522018022615033881903"</f>
        <v>10522018022615033881903</v>
      </c>
      <c r="B801" s="8" t="s">
        <v>20</v>
      </c>
      <c r="C801" s="9" t="str">
        <f t="shared" si="60"/>
        <v>女</v>
      </c>
      <c r="D801" s="9" t="str">
        <f>"341621199403241728"</f>
        <v>341621199403241728</v>
      </c>
      <c r="E801" s="14" t="str">
        <f t="shared" si="59"/>
        <v>助产</v>
      </c>
      <c r="F801" s="9" t="str">
        <f>"2018013312"</f>
        <v>2018013312</v>
      </c>
      <c r="G801" s="9">
        <v>31</v>
      </c>
      <c r="H801" s="9">
        <v>71</v>
      </c>
      <c r="I801" s="9">
        <f t="shared" si="58"/>
        <v>58.999999999999993</v>
      </c>
      <c r="J801" s="9"/>
      <c r="K801" s="3">
        <v>33</v>
      </c>
      <c r="L801" s="3">
        <v>12</v>
      </c>
    </row>
    <row r="802" spans="1:12" ht="18.75" customHeight="1">
      <c r="A802" s="3" t="str">
        <f>"10522018022810232882507"</f>
        <v>10522018022810232882507</v>
      </c>
      <c r="B802" s="8" t="s">
        <v>20</v>
      </c>
      <c r="C802" s="9" t="str">
        <f t="shared" si="60"/>
        <v>女</v>
      </c>
      <c r="D802" s="9" t="str">
        <f>"341281199601146064"</f>
        <v>341281199601146064</v>
      </c>
      <c r="E802" s="14" t="str">
        <f t="shared" si="59"/>
        <v>助产</v>
      </c>
      <c r="F802" s="9" t="str">
        <f>"2018013402"</f>
        <v>2018013402</v>
      </c>
      <c r="G802" s="9">
        <v>31</v>
      </c>
      <c r="H802" s="9">
        <v>69</v>
      </c>
      <c r="I802" s="9">
        <f t="shared" si="58"/>
        <v>57.599999999999994</v>
      </c>
      <c r="J802" s="9"/>
      <c r="K802" s="3">
        <v>34</v>
      </c>
      <c r="L802" s="3">
        <v>2</v>
      </c>
    </row>
    <row r="803" spans="1:12" ht="18.75" customHeight="1">
      <c r="A803" s="3" t="str">
        <f>"10522018022716075782298"</f>
        <v>10522018022716075782298</v>
      </c>
      <c r="B803" s="8" t="s">
        <v>20</v>
      </c>
      <c r="C803" s="9" t="str">
        <f t="shared" si="60"/>
        <v>女</v>
      </c>
      <c r="D803" s="9" t="str">
        <f>"341227199707023427"</f>
        <v>341227199707023427</v>
      </c>
      <c r="E803" s="14" t="str">
        <f t="shared" si="59"/>
        <v>助产</v>
      </c>
      <c r="F803" s="9" t="str">
        <f>"2018013326"</f>
        <v>2018013326</v>
      </c>
      <c r="G803" s="9">
        <v>29</v>
      </c>
      <c r="H803" s="9">
        <v>69.5</v>
      </c>
      <c r="I803" s="9">
        <f t="shared" si="58"/>
        <v>57.349999999999994</v>
      </c>
      <c r="J803" s="9"/>
      <c r="K803" s="3">
        <v>33</v>
      </c>
      <c r="L803" s="3">
        <v>26</v>
      </c>
    </row>
    <row r="804" spans="1:12" ht="18.75" customHeight="1">
      <c r="A804" s="3" t="str">
        <f>"10522018022719424882376"</f>
        <v>10522018022719424882376</v>
      </c>
      <c r="B804" s="8" t="s">
        <v>20</v>
      </c>
      <c r="C804" s="9" t="str">
        <f t="shared" si="60"/>
        <v>女</v>
      </c>
      <c r="D804" s="9" t="str">
        <f>"340621199505069040"</f>
        <v>340621199505069040</v>
      </c>
      <c r="E804" s="14" t="str">
        <f t="shared" ref="E804:E832" si="61">"助产"</f>
        <v>助产</v>
      </c>
      <c r="F804" s="9" t="str">
        <f>"2018013319"</f>
        <v>2018013319</v>
      </c>
      <c r="G804" s="9">
        <v>37</v>
      </c>
      <c r="H804" s="9">
        <v>64.5</v>
      </c>
      <c r="I804" s="9">
        <f t="shared" si="58"/>
        <v>56.25</v>
      </c>
      <c r="J804" s="9"/>
      <c r="K804" s="3">
        <v>33</v>
      </c>
      <c r="L804" s="3">
        <v>19</v>
      </c>
    </row>
    <row r="805" spans="1:12" ht="18.75" customHeight="1">
      <c r="A805" s="3" t="str">
        <f>"10522018022813410482597"</f>
        <v>10522018022813410482597</v>
      </c>
      <c r="B805" s="8" t="s">
        <v>20</v>
      </c>
      <c r="C805" s="9" t="str">
        <f t="shared" si="60"/>
        <v>女</v>
      </c>
      <c r="D805" s="9" t="str">
        <f>"341227199403183720"</f>
        <v>341227199403183720</v>
      </c>
      <c r="E805" s="14" t="str">
        <f t="shared" si="61"/>
        <v>助产</v>
      </c>
      <c r="F805" s="9" t="str">
        <f>"2018013505"</f>
        <v>2018013505</v>
      </c>
      <c r="G805" s="9">
        <v>44</v>
      </c>
      <c r="H805" s="9">
        <v>61</v>
      </c>
      <c r="I805" s="9">
        <f t="shared" si="58"/>
        <v>55.899999999999991</v>
      </c>
      <c r="J805" s="9"/>
      <c r="K805" s="3">
        <v>35</v>
      </c>
      <c r="L805" s="3">
        <v>5</v>
      </c>
    </row>
    <row r="806" spans="1:12" ht="18.75" customHeight="1">
      <c r="A806" s="3" t="str">
        <f>"10522018022612505181811"</f>
        <v>10522018022612505181811</v>
      </c>
      <c r="B806" s="8" t="s">
        <v>20</v>
      </c>
      <c r="C806" s="9" t="str">
        <f t="shared" si="60"/>
        <v>女</v>
      </c>
      <c r="D806" s="9" t="str">
        <f>"341227199406172322"</f>
        <v>341227199406172322</v>
      </c>
      <c r="E806" s="14" t="str">
        <f t="shared" si="61"/>
        <v>助产</v>
      </c>
      <c r="F806" s="9" t="str">
        <f>"2018013409"</f>
        <v>2018013409</v>
      </c>
      <c r="G806" s="9">
        <v>41.5</v>
      </c>
      <c r="H806" s="9">
        <v>62</v>
      </c>
      <c r="I806" s="9">
        <f t="shared" si="58"/>
        <v>55.849999999999994</v>
      </c>
      <c r="J806" s="9"/>
      <c r="K806" s="3">
        <v>34</v>
      </c>
      <c r="L806" s="3">
        <v>9</v>
      </c>
    </row>
    <row r="807" spans="1:12" ht="18.75" customHeight="1">
      <c r="A807" s="3" t="str">
        <f>"10522018022609210481602"</f>
        <v>10522018022609210481602</v>
      </c>
      <c r="B807" s="8" t="s">
        <v>20</v>
      </c>
      <c r="C807" s="9" t="str">
        <f t="shared" si="60"/>
        <v>女</v>
      </c>
      <c r="D807" s="9" t="str">
        <f>"341621199312202985"</f>
        <v>341621199312202985</v>
      </c>
      <c r="E807" s="14" t="str">
        <f t="shared" si="61"/>
        <v>助产</v>
      </c>
      <c r="F807" s="9" t="str">
        <f>"2018013307"</f>
        <v>2018013307</v>
      </c>
      <c r="G807" s="9">
        <v>28</v>
      </c>
      <c r="H807" s="9">
        <v>66</v>
      </c>
      <c r="I807" s="9">
        <f t="shared" si="58"/>
        <v>54.599999999999994</v>
      </c>
      <c r="J807" s="9"/>
      <c r="K807" s="3">
        <v>33</v>
      </c>
      <c r="L807" s="3">
        <v>7</v>
      </c>
    </row>
    <row r="808" spans="1:12" ht="18.75" customHeight="1">
      <c r="A808" s="3" t="str">
        <f>"10522018022618073882002"</f>
        <v>10522018022618073882002</v>
      </c>
      <c r="B808" s="8" t="s">
        <v>20</v>
      </c>
      <c r="C808" s="9" t="str">
        <f t="shared" si="60"/>
        <v>女</v>
      </c>
      <c r="D808" s="9" t="str">
        <f>"341281199501060183"</f>
        <v>341281199501060183</v>
      </c>
      <c r="E808" s="14" t="str">
        <f t="shared" si="61"/>
        <v>助产</v>
      </c>
      <c r="F808" s="9" t="str">
        <f>"2018013424"</f>
        <v>2018013424</v>
      </c>
      <c r="G808" s="9">
        <v>44</v>
      </c>
      <c r="H808" s="9">
        <v>59</v>
      </c>
      <c r="I808" s="9">
        <f t="shared" si="58"/>
        <v>54.5</v>
      </c>
      <c r="J808" s="9"/>
      <c r="K808" s="3">
        <v>34</v>
      </c>
      <c r="L808" s="3">
        <v>24</v>
      </c>
    </row>
    <row r="809" spans="1:12" ht="18.75" customHeight="1">
      <c r="A809" s="3" t="str">
        <f>"10522018022610051281647"</f>
        <v>10522018022610051281647</v>
      </c>
      <c r="B809" s="8" t="s">
        <v>20</v>
      </c>
      <c r="C809" s="9" t="str">
        <f t="shared" si="60"/>
        <v>女</v>
      </c>
      <c r="D809" s="9" t="str">
        <f>"340421199412132820"</f>
        <v>340421199412132820</v>
      </c>
      <c r="E809" s="14" t="str">
        <f t="shared" si="61"/>
        <v>助产</v>
      </c>
      <c r="F809" s="9" t="str">
        <f>"2018013501"</f>
        <v>2018013501</v>
      </c>
      <c r="G809" s="9">
        <v>25.5</v>
      </c>
      <c r="H809" s="9">
        <v>66</v>
      </c>
      <c r="I809" s="9">
        <f t="shared" si="58"/>
        <v>53.849999999999994</v>
      </c>
      <c r="J809" s="9"/>
      <c r="K809" s="3">
        <v>35</v>
      </c>
      <c r="L809" s="3">
        <v>1</v>
      </c>
    </row>
    <row r="810" spans="1:12" ht="18.75" customHeight="1">
      <c r="A810" s="3" t="str">
        <f>"10522018022721573882434"</f>
        <v>10522018022721573882434</v>
      </c>
      <c r="B810" s="8" t="s">
        <v>20</v>
      </c>
      <c r="C810" s="9" t="str">
        <f t="shared" si="60"/>
        <v>女</v>
      </c>
      <c r="D810" s="9" t="str">
        <f>"341621199703272526"</f>
        <v>341621199703272526</v>
      </c>
      <c r="E810" s="14" t="str">
        <f t="shared" si="61"/>
        <v>助产</v>
      </c>
      <c r="F810" s="9" t="str">
        <f>"2018013410"</f>
        <v>2018013410</v>
      </c>
      <c r="G810" s="9">
        <v>50.5</v>
      </c>
      <c r="H810" s="9">
        <v>55</v>
      </c>
      <c r="I810" s="9">
        <f t="shared" si="58"/>
        <v>53.65</v>
      </c>
      <c r="J810" s="9"/>
      <c r="K810" s="3">
        <v>34</v>
      </c>
      <c r="L810" s="3">
        <v>10</v>
      </c>
    </row>
    <row r="811" spans="1:12" ht="18.75" customHeight="1">
      <c r="A811" s="3" t="str">
        <f>"10522018022611163881749"</f>
        <v>10522018022611163881749</v>
      </c>
      <c r="B811" s="8" t="s">
        <v>20</v>
      </c>
      <c r="C811" s="9" t="str">
        <f t="shared" si="60"/>
        <v>女</v>
      </c>
      <c r="D811" s="9" t="str">
        <f>"341224199611260226"</f>
        <v>341224199611260226</v>
      </c>
      <c r="E811" s="14" t="str">
        <f t="shared" si="61"/>
        <v>助产</v>
      </c>
      <c r="F811" s="9" t="str">
        <f>"2018013325"</f>
        <v>2018013325</v>
      </c>
      <c r="G811" s="9">
        <v>32</v>
      </c>
      <c r="H811" s="9">
        <v>62</v>
      </c>
      <c r="I811" s="9">
        <f t="shared" si="58"/>
        <v>53</v>
      </c>
      <c r="J811" s="9"/>
      <c r="K811" s="3">
        <v>33</v>
      </c>
      <c r="L811" s="3">
        <v>25</v>
      </c>
    </row>
    <row r="812" spans="1:12" ht="18.75" customHeight="1">
      <c r="A812" s="3" t="str">
        <f>"10522018022819120082701"</f>
        <v>10522018022819120082701</v>
      </c>
      <c r="B812" s="8" t="s">
        <v>20</v>
      </c>
      <c r="C812" s="9" t="str">
        <f t="shared" si="60"/>
        <v>女</v>
      </c>
      <c r="D812" s="9" t="str">
        <f>"34128219940615142X"</f>
        <v>34128219940615142X</v>
      </c>
      <c r="E812" s="14" t="str">
        <f t="shared" si="61"/>
        <v>助产</v>
      </c>
      <c r="F812" s="9" t="str">
        <f>"2018013502"</f>
        <v>2018013502</v>
      </c>
      <c r="G812" s="9">
        <v>29</v>
      </c>
      <c r="H812" s="9">
        <v>62</v>
      </c>
      <c r="I812" s="9">
        <f t="shared" si="58"/>
        <v>52.099999999999994</v>
      </c>
      <c r="J812" s="9"/>
      <c r="K812" s="3">
        <v>35</v>
      </c>
      <c r="L812" s="3">
        <v>2</v>
      </c>
    </row>
    <row r="813" spans="1:12" ht="18.75" customHeight="1">
      <c r="A813" s="3" t="str">
        <f>"10522018022818074182678"</f>
        <v>10522018022818074182678</v>
      </c>
      <c r="B813" s="8" t="s">
        <v>20</v>
      </c>
      <c r="C813" s="9" t="str">
        <f t="shared" si="60"/>
        <v>女</v>
      </c>
      <c r="D813" s="9" t="str">
        <f>"341227199706128323"</f>
        <v>341227199706128323</v>
      </c>
      <c r="E813" s="14" t="str">
        <f t="shared" si="61"/>
        <v>助产</v>
      </c>
      <c r="F813" s="9" t="str">
        <f>"2018013418"</f>
        <v>2018013418</v>
      </c>
      <c r="G813" s="9">
        <v>27.5</v>
      </c>
      <c r="H813" s="9">
        <v>62</v>
      </c>
      <c r="I813" s="9">
        <f t="shared" si="58"/>
        <v>51.65</v>
      </c>
      <c r="J813" s="9"/>
      <c r="K813" s="3">
        <v>34</v>
      </c>
      <c r="L813" s="3">
        <v>18</v>
      </c>
    </row>
    <row r="814" spans="1:12" ht="18.75" customHeight="1">
      <c r="A814" s="3" t="str">
        <f>"10522018022819143382704"</f>
        <v>10522018022819143382704</v>
      </c>
      <c r="B814" s="8" t="s">
        <v>20</v>
      </c>
      <c r="C814" s="9" t="str">
        <f t="shared" si="60"/>
        <v>女</v>
      </c>
      <c r="D814" s="9" t="str">
        <f>"341222199405107906"</f>
        <v>341222199405107906</v>
      </c>
      <c r="E814" s="14" t="str">
        <f t="shared" si="61"/>
        <v>助产</v>
      </c>
      <c r="F814" s="9" t="str">
        <f>"2018013305"</f>
        <v>2018013305</v>
      </c>
      <c r="G814" s="9">
        <v>35</v>
      </c>
      <c r="H814" s="9">
        <v>58</v>
      </c>
      <c r="I814" s="9">
        <f t="shared" si="58"/>
        <v>51.099999999999994</v>
      </c>
      <c r="J814" s="9"/>
      <c r="K814" s="3">
        <v>33</v>
      </c>
      <c r="L814" s="3">
        <v>5</v>
      </c>
    </row>
    <row r="815" spans="1:12" ht="18.75" customHeight="1">
      <c r="A815" s="3" t="str">
        <f>"10522018022615071881906"</f>
        <v>10522018022615071881906</v>
      </c>
      <c r="B815" s="8" t="s">
        <v>20</v>
      </c>
      <c r="C815" s="9" t="str">
        <f t="shared" si="60"/>
        <v>女</v>
      </c>
      <c r="D815" s="9" t="str">
        <f>"341227199612010041"</f>
        <v>341227199612010041</v>
      </c>
      <c r="E815" s="14" t="str">
        <f t="shared" si="61"/>
        <v>助产</v>
      </c>
      <c r="F815" s="9" t="str">
        <f>"2018013423"</f>
        <v>2018013423</v>
      </c>
      <c r="G815" s="9">
        <v>39</v>
      </c>
      <c r="H815" s="9">
        <v>55</v>
      </c>
      <c r="I815" s="9">
        <f t="shared" si="58"/>
        <v>50.2</v>
      </c>
      <c r="J815" s="9"/>
      <c r="K815" s="3">
        <v>34</v>
      </c>
      <c r="L815" s="3">
        <v>23</v>
      </c>
    </row>
    <row r="816" spans="1:12" ht="18.75" customHeight="1">
      <c r="A816" s="3" t="str">
        <f>"10522018022710124182166"</f>
        <v>10522018022710124182166</v>
      </c>
      <c r="B816" s="8" t="s">
        <v>20</v>
      </c>
      <c r="C816" s="9" t="str">
        <f t="shared" si="60"/>
        <v>女</v>
      </c>
      <c r="D816" s="9" t="str">
        <f>"34162119930315212X"</f>
        <v>34162119930315212X</v>
      </c>
      <c r="E816" s="14" t="str">
        <f t="shared" si="61"/>
        <v>助产</v>
      </c>
      <c r="F816" s="9" t="str">
        <f>"2018013510"</f>
        <v>2018013510</v>
      </c>
      <c r="G816" s="9">
        <v>31.5</v>
      </c>
      <c r="H816" s="9">
        <v>58</v>
      </c>
      <c r="I816" s="9">
        <f t="shared" si="58"/>
        <v>50.05</v>
      </c>
      <c r="J816" s="9"/>
      <c r="K816" s="3">
        <v>35</v>
      </c>
      <c r="L816" s="3">
        <v>10</v>
      </c>
    </row>
    <row r="817" spans="1:12" ht="18.75" customHeight="1">
      <c r="A817" s="3" t="str">
        <f>"10522018022714455782268"</f>
        <v>10522018022714455782268</v>
      </c>
      <c r="B817" s="8" t="s">
        <v>20</v>
      </c>
      <c r="C817" s="9" t="str">
        <f t="shared" ref="C817:C832" si="62">"女"</f>
        <v>女</v>
      </c>
      <c r="D817" s="9" t="str">
        <f>"341621199406180422"</f>
        <v>341621199406180422</v>
      </c>
      <c r="E817" s="14" t="str">
        <f t="shared" si="61"/>
        <v>助产</v>
      </c>
      <c r="F817" s="9" t="str">
        <f>"2018013518"</f>
        <v>2018013518</v>
      </c>
      <c r="G817" s="9">
        <v>23.5</v>
      </c>
      <c r="H817" s="9">
        <v>61</v>
      </c>
      <c r="I817" s="9">
        <f t="shared" si="58"/>
        <v>49.749999999999993</v>
      </c>
      <c r="J817" s="9"/>
      <c r="K817" s="3">
        <v>35</v>
      </c>
      <c r="L817" s="3">
        <v>18</v>
      </c>
    </row>
    <row r="818" spans="1:12" ht="18.75" customHeight="1">
      <c r="A818" s="3" t="str">
        <f>"10522018030108505582796"</f>
        <v>10522018030108505582796</v>
      </c>
      <c r="B818" s="8" t="s">
        <v>20</v>
      </c>
      <c r="C818" s="9" t="str">
        <f t="shared" si="62"/>
        <v>女</v>
      </c>
      <c r="D818" s="9" t="str">
        <f>"341223199805104321"</f>
        <v>341223199805104321</v>
      </c>
      <c r="E818" s="14" t="str">
        <f t="shared" si="61"/>
        <v>助产</v>
      </c>
      <c r="F818" s="9" t="str">
        <f>"2018013330"</f>
        <v>2018013330</v>
      </c>
      <c r="G818" s="9">
        <v>42</v>
      </c>
      <c r="H818" s="9">
        <v>53</v>
      </c>
      <c r="I818" s="9">
        <f t="shared" si="58"/>
        <v>49.699999999999996</v>
      </c>
      <c r="J818" s="9"/>
      <c r="K818" s="3">
        <v>33</v>
      </c>
      <c r="L818" s="3">
        <v>30</v>
      </c>
    </row>
    <row r="819" spans="1:12" ht="18.75" customHeight="1">
      <c r="A819" s="3" t="str">
        <f>"10522018022819212082708"</f>
        <v>10522018022819212082708</v>
      </c>
      <c r="B819" s="8" t="s">
        <v>20</v>
      </c>
      <c r="C819" s="9" t="str">
        <f t="shared" si="62"/>
        <v>女</v>
      </c>
      <c r="D819" s="9" t="str">
        <f>"341623199603191027"</f>
        <v>341623199603191027</v>
      </c>
      <c r="E819" s="14" t="str">
        <f t="shared" si="61"/>
        <v>助产</v>
      </c>
      <c r="F819" s="9" t="str">
        <f>"2018013428"</f>
        <v>2018013428</v>
      </c>
      <c r="G819" s="9">
        <v>37</v>
      </c>
      <c r="H819" s="9">
        <v>42</v>
      </c>
      <c r="I819" s="9">
        <f t="shared" si="58"/>
        <v>40.5</v>
      </c>
      <c r="J819" s="9"/>
      <c r="K819" s="3">
        <v>34</v>
      </c>
      <c r="L819" s="3">
        <v>28</v>
      </c>
    </row>
    <row r="820" spans="1:12" ht="18.75" customHeight="1">
      <c r="A820" s="3" t="str">
        <f>"10522018022721165682417"</f>
        <v>10522018022721165682417</v>
      </c>
      <c r="B820" s="8" t="s">
        <v>20</v>
      </c>
      <c r="C820" s="9" t="str">
        <f t="shared" si="62"/>
        <v>女</v>
      </c>
      <c r="D820" s="9" t="str">
        <f>"341621199602260729"</f>
        <v>341621199602260729</v>
      </c>
      <c r="E820" s="14" t="str">
        <f t="shared" si="61"/>
        <v>助产</v>
      </c>
      <c r="F820" s="9" t="str">
        <f>"2018013303"</f>
        <v>2018013303</v>
      </c>
      <c r="G820" s="9">
        <v>26</v>
      </c>
      <c r="H820" s="9">
        <v>45</v>
      </c>
      <c r="I820" s="9">
        <f t="shared" si="58"/>
        <v>39.299999999999997</v>
      </c>
      <c r="J820" s="9"/>
      <c r="K820" s="3">
        <v>33</v>
      </c>
      <c r="L820" s="3">
        <v>3</v>
      </c>
    </row>
    <row r="821" spans="1:12" ht="18.75" customHeight="1">
      <c r="A821" s="3" t="str">
        <f>"10522018022810031482497"</f>
        <v>10522018022810031482497</v>
      </c>
      <c r="B821" s="8" t="s">
        <v>20</v>
      </c>
      <c r="C821" s="9" t="str">
        <f t="shared" si="62"/>
        <v>女</v>
      </c>
      <c r="D821" s="9" t="str">
        <f>"34122319970601112X"</f>
        <v>34122319970601112X</v>
      </c>
      <c r="E821" s="14" t="str">
        <f t="shared" si="61"/>
        <v>助产</v>
      </c>
      <c r="F821" s="9" t="str">
        <f>"2018013415"</f>
        <v>2018013415</v>
      </c>
      <c r="G821" s="9">
        <v>20.5</v>
      </c>
      <c r="H821" s="9">
        <v>45</v>
      </c>
      <c r="I821" s="9">
        <f t="shared" si="58"/>
        <v>37.65</v>
      </c>
      <c r="J821" s="9"/>
      <c r="K821" s="3">
        <v>34</v>
      </c>
      <c r="L821" s="3">
        <v>15</v>
      </c>
    </row>
    <row r="822" spans="1:12" ht="18.75" customHeight="1">
      <c r="A822" s="3" t="str">
        <f>"10522018030116031382943"</f>
        <v>10522018030116031382943</v>
      </c>
      <c r="B822" s="8" t="s">
        <v>20</v>
      </c>
      <c r="C822" s="9" t="str">
        <f t="shared" si="62"/>
        <v>女</v>
      </c>
      <c r="D822" s="9" t="str">
        <f>"341223199412031723"</f>
        <v>341223199412031723</v>
      </c>
      <c r="E822" s="14" t="str">
        <f t="shared" si="61"/>
        <v>助产</v>
      </c>
      <c r="F822" s="9" t="str">
        <f>"2018013414"</f>
        <v>2018013414</v>
      </c>
      <c r="G822" s="9">
        <v>17.5</v>
      </c>
      <c r="H822" s="9">
        <v>42</v>
      </c>
      <c r="I822" s="9">
        <f t="shared" si="58"/>
        <v>34.65</v>
      </c>
      <c r="J822" s="9"/>
      <c r="K822" s="3">
        <v>34</v>
      </c>
      <c r="L822" s="3">
        <v>14</v>
      </c>
    </row>
    <row r="823" spans="1:12" ht="18.75" customHeight="1">
      <c r="A823" s="3" t="str">
        <f>"10522018022619192082029"</f>
        <v>10522018022619192082029</v>
      </c>
      <c r="B823" s="8" t="s">
        <v>20</v>
      </c>
      <c r="C823" s="9" t="str">
        <f t="shared" si="62"/>
        <v>女</v>
      </c>
      <c r="D823" s="9" t="str">
        <f>"341602199310258986"</f>
        <v>341602199310258986</v>
      </c>
      <c r="E823" s="14" t="str">
        <f t="shared" si="61"/>
        <v>助产</v>
      </c>
      <c r="F823" s="9" t="str">
        <f>"2018013301"</f>
        <v>2018013301</v>
      </c>
      <c r="G823" s="9">
        <v>0</v>
      </c>
      <c r="H823" s="9">
        <v>0</v>
      </c>
      <c r="I823" s="9">
        <f t="shared" si="58"/>
        <v>0</v>
      </c>
      <c r="J823" s="10" t="s">
        <v>4</v>
      </c>
      <c r="K823" s="3">
        <v>33</v>
      </c>
      <c r="L823" s="3">
        <v>1</v>
      </c>
    </row>
    <row r="824" spans="1:12" ht="18.75" customHeight="1">
      <c r="A824" s="3" t="str">
        <f>"10522018022610084281652"</f>
        <v>10522018022610084281652</v>
      </c>
      <c r="B824" s="8" t="s">
        <v>20</v>
      </c>
      <c r="C824" s="9" t="str">
        <f t="shared" si="62"/>
        <v>女</v>
      </c>
      <c r="D824" s="9" t="str">
        <f>"412727199306080726"</f>
        <v>412727199306080726</v>
      </c>
      <c r="E824" s="14" t="str">
        <f t="shared" si="61"/>
        <v>助产</v>
      </c>
      <c r="F824" s="9" t="str">
        <f>"2018013304"</f>
        <v>2018013304</v>
      </c>
      <c r="G824" s="9">
        <v>0</v>
      </c>
      <c r="H824" s="9">
        <v>0</v>
      </c>
      <c r="I824" s="9">
        <f t="shared" si="58"/>
        <v>0</v>
      </c>
      <c r="J824" s="10" t="s">
        <v>4</v>
      </c>
      <c r="K824" s="3">
        <v>33</v>
      </c>
      <c r="L824" s="3">
        <v>4</v>
      </c>
    </row>
    <row r="825" spans="1:12" ht="18.75" customHeight="1">
      <c r="A825" s="3" t="str">
        <f>"10522018022718401682329"</f>
        <v>10522018022718401682329</v>
      </c>
      <c r="B825" s="8" t="s">
        <v>20</v>
      </c>
      <c r="C825" s="9" t="str">
        <f t="shared" si="62"/>
        <v>女</v>
      </c>
      <c r="D825" s="9" t="str">
        <f>"341227199609118027"</f>
        <v>341227199609118027</v>
      </c>
      <c r="E825" s="14" t="str">
        <f t="shared" si="61"/>
        <v>助产</v>
      </c>
      <c r="F825" s="9" t="str">
        <f>"2018013314"</f>
        <v>2018013314</v>
      </c>
      <c r="G825" s="9">
        <v>0</v>
      </c>
      <c r="H825" s="9">
        <v>0</v>
      </c>
      <c r="I825" s="9">
        <f t="shared" si="58"/>
        <v>0</v>
      </c>
      <c r="J825" s="10" t="s">
        <v>4</v>
      </c>
      <c r="K825" s="3">
        <v>33</v>
      </c>
      <c r="L825" s="3">
        <v>14</v>
      </c>
    </row>
    <row r="826" spans="1:12" ht="18.75" customHeight="1">
      <c r="A826" s="3" t="str">
        <f>"10522018022813222082588"</f>
        <v>10522018022813222082588</v>
      </c>
      <c r="B826" s="8" t="s">
        <v>20</v>
      </c>
      <c r="C826" s="9" t="str">
        <f t="shared" si="62"/>
        <v>女</v>
      </c>
      <c r="D826" s="9" t="str">
        <f>"341221199410100649"</f>
        <v>341221199410100649</v>
      </c>
      <c r="E826" s="14" t="str">
        <f t="shared" si="61"/>
        <v>助产</v>
      </c>
      <c r="F826" s="9" t="str">
        <f>"2018013405"</f>
        <v>2018013405</v>
      </c>
      <c r="G826" s="9">
        <v>0</v>
      </c>
      <c r="H826" s="9">
        <v>0</v>
      </c>
      <c r="I826" s="9">
        <f t="shared" si="58"/>
        <v>0</v>
      </c>
      <c r="J826" s="10" t="s">
        <v>4</v>
      </c>
      <c r="K826" s="3">
        <v>34</v>
      </c>
      <c r="L826" s="3">
        <v>5</v>
      </c>
    </row>
    <row r="827" spans="1:12" ht="18.75" customHeight="1">
      <c r="A827" s="3" t="str">
        <f>"10522018022610422481700"</f>
        <v>10522018022610422481700</v>
      </c>
      <c r="B827" s="8" t="s">
        <v>20</v>
      </c>
      <c r="C827" s="9" t="str">
        <f t="shared" si="62"/>
        <v>女</v>
      </c>
      <c r="D827" s="9" t="str">
        <f>"341222199509190281"</f>
        <v>341222199509190281</v>
      </c>
      <c r="E827" s="14" t="str">
        <f t="shared" si="61"/>
        <v>助产</v>
      </c>
      <c r="F827" s="9" t="str">
        <f>"2018013408"</f>
        <v>2018013408</v>
      </c>
      <c r="G827" s="9">
        <v>0</v>
      </c>
      <c r="H827" s="9">
        <v>0</v>
      </c>
      <c r="I827" s="9">
        <f t="shared" si="58"/>
        <v>0</v>
      </c>
      <c r="J827" s="10" t="s">
        <v>4</v>
      </c>
      <c r="K827" s="3">
        <v>34</v>
      </c>
      <c r="L827" s="3">
        <v>8</v>
      </c>
    </row>
    <row r="828" spans="1:12" ht="18.75" customHeight="1">
      <c r="A828" s="3" t="str">
        <f>"10522018022723031582447"</f>
        <v>10522018022723031582447</v>
      </c>
      <c r="B828" s="8" t="s">
        <v>20</v>
      </c>
      <c r="C828" s="9" t="str">
        <f t="shared" si="62"/>
        <v>女</v>
      </c>
      <c r="D828" s="9" t="str">
        <f>"341225199512306547"</f>
        <v>341225199512306547</v>
      </c>
      <c r="E828" s="14" t="str">
        <f t="shared" si="61"/>
        <v>助产</v>
      </c>
      <c r="F828" s="9" t="str">
        <f>"2018013419"</f>
        <v>2018013419</v>
      </c>
      <c r="G828" s="9">
        <v>0</v>
      </c>
      <c r="H828" s="9">
        <v>0</v>
      </c>
      <c r="I828" s="9">
        <f t="shared" si="58"/>
        <v>0</v>
      </c>
      <c r="J828" s="10" t="s">
        <v>4</v>
      </c>
      <c r="K828" s="3">
        <v>34</v>
      </c>
      <c r="L828" s="3">
        <v>19</v>
      </c>
    </row>
    <row r="829" spans="1:12" ht="18.75" customHeight="1">
      <c r="A829" s="3" t="str">
        <f>"10522018022609485381633"</f>
        <v>10522018022609485381633</v>
      </c>
      <c r="B829" s="8" t="s">
        <v>20</v>
      </c>
      <c r="C829" s="9" t="str">
        <f t="shared" si="62"/>
        <v>女</v>
      </c>
      <c r="D829" s="9" t="str">
        <f>"341223199601100740"</f>
        <v>341223199601100740</v>
      </c>
      <c r="E829" s="14" t="str">
        <f t="shared" si="61"/>
        <v>助产</v>
      </c>
      <c r="F829" s="9" t="str">
        <f>"2018013421"</f>
        <v>2018013421</v>
      </c>
      <c r="G829" s="9">
        <v>0</v>
      </c>
      <c r="H829" s="9">
        <v>0</v>
      </c>
      <c r="I829" s="9">
        <f t="shared" si="58"/>
        <v>0</v>
      </c>
      <c r="J829" s="10" t="s">
        <v>4</v>
      </c>
      <c r="K829" s="3">
        <v>34</v>
      </c>
      <c r="L829" s="3">
        <v>21</v>
      </c>
    </row>
    <row r="830" spans="1:12" ht="18.75" customHeight="1">
      <c r="A830" s="3" t="str">
        <f>"10522018030113034182881"</f>
        <v>10522018030113034182881</v>
      </c>
      <c r="B830" s="8" t="s">
        <v>20</v>
      </c>
      <c r="C830" s="9" t="str">
        <f t="shared" si="62"/>
        <v>女</v>
      </c>
      <c r="D830" s="9" t="str">
        <f>"341224199604100427"</f>
        <v>341224199604100427</v>
      </c>
      <c r="E830" s="14" t="str">
        <f t="shared" si="61"/>
        <v>助产</v>
      </c>
      <c r="F830" s="9" t="str">
        <f>"2018013429"</f>
        <v>2018013429</v>
      </c>
      <c r="G830" s="9">
        <v>0</v>
      </c>
      <c r="H830" s="9">
        <v>0</v>
      </c>
      <c r="I830" s="9">
        <f t="shared" si="58"/>
        <v>0</v>
      </c>
      <c r="J830" s="10" t="s">
        <v>4</v>
      </c>
      <c r="K830" s="3">
        <v>34</v>
      </c>
      <c r="L830" s="3">
        <v>29</v>
      </c>
    </row>
    <row r="831" spans="1:12" ht="18.75" customHeight="1">
      <c r="A831" s="3" t="str">
        <f>"10522018030116155182950"</f>
        <v>10522018030116155182950</v>
      </c>
      <c r="B831" s="8" t="s">
        <v>20</v>
      </c>
      <c r="C831" s="9" t="str">
        <f t="shared" si="62"/>
        <v>女</v>
      </c>
      <c r="D831" s="9" t="str">
        <f>"341221199408126305"</f>
        <v>341221199408126305</v>
      </c>
      <c r="E831" s="14" t="str">
        <f t="shared" si="61"/>
        <v>助产</v>
      </c>
      <c r="F831" s="9" t="str">
        <f>"2018013430"</f>
        <v>2018013430</v>
      </c>
      <c r="G831" s="9">
        <v>0</v>
      </c>
      <c r="H831" s="9">
        <v>0</v>
      </c>
      <c r="I831" s="9">
        <f t="shared" si="58"/>
        <v>0</v>
      </c>
      <c r="J831" s="10" t="s">
        <v>4</v>
      </c>
      <c r="K831" s="3">
        <v>34</v>
      </c>
      <c r="L831" s="3">
        <v>30</v>
      </c>
    </row>
    <row r="832" spans="1:12" ht="18.75" customHeight="1">
      <c r="A832" s="3" t="str">
        <f>"10522018022814544282623"</f>
        <v>10522018022814544282623</v>
      </c>
      <c r="B832" s="8" t="s">
        <v>20</v>
      </c>
      <c r="C832" s="9" t="str">
        <f t="shared" si="62"/>
        <v>女</v>
      </c>
      <c r="D832" s="9" t="str">
        <f>"341227199504062645"</f>
        <v>341227199504062645</v>
      </c>
      <c r="E832" s="14" t="str">
        <f t="shared" si="61"/>
        <v>助产</v>
      </c>
      <c r="F832" s="9" t="str">
        <f>"2018013507"</f>
        <v>2018013507</v>
      </c>
      <c r="G832" s="9">
        <v>0</v>
      </c>
      <c r="H832" s="9">
        <v>0</v>
      </c>
      <c r="I832" s="9">
        <f t="shared" si="58"/>
        <v>0</v>
      </c>
      <c r="J832" s="10" t="s">
        <v>4</v>
      </c>
      <c r="K832" s="3">
        <v>35</v>
      </c>
      <c r="L832" s="3">
        <v>7</v>
      </c>
    </row>
    <row r="833" spans="1:12" ht="18.75" customHeight="1">
      <c r="A833" s="3" t="str">
        <f>"10522018030112190082863"</f>
        <v>10522018030112190082863</v>
      </c>
      <c r="B833" s="8" t="s">
        <v>21</v>
      </c>
      <c r="C833" s="9" t="str">
        <f>"男"</f>
        <v>男</v>
      </c>
      <c r="D833" s="9" t="str">
        <f>"341621199512151510"</f>
        <v>341621199512151510</v>
      </c>
      <c r="E833" s="14" t="str">
        <f>"预防医学"</f>
        <v>预防医学</v>
      </c>
      <c r="F833" s="9" t="str">
        <f>"2018014020"</f>
        <v>2018014020</v>
      </c>
      <c r="G833" s="9">
        <v>71</v>
      </c>
      <c r="H833" s="9">
        <v>75</v>
      </c>
      <c r="I833" s="9">
        <f t="shared" si="58"/>
        <v>73.8</v>
      </c>
      <c r="J833" s="9"/>
      <c r="K833" s="3">
        <v>40</v>
      </c>
      <c r="L833" s="3">
        <v>20</v>
      </c>
    </row>
    <row r="834" spans="1:12" ht="18.75" customHeight="1">
      <c r="A834" s="3" t="str">
        <f>"10522018022720321682396"</f>
        <v>10522018022720321682396</v>
      </c>
      <c r="B834" s="8" t="s">
        <v>21</v>
      </c>
      <c r="C834" s="9" t="str">
        <f>"男"</f>
        <v>男</v>
      </c>
      <c r="D834" s="9" t="str">
        <f>"341227199503206758"</f>
        <v>341227199503206758</v>
      </c>
      <c r="E834" s="14" t="str">
        <f>"预防医学"</f>
        <v>预防医学</v>
      </c>
      <c r="F834" s="9" t="str">
        <f>"2018014018"</f>
        <v>2018014018</v>
      </c>
      <c r="G834" s="9">
        <v>51.5</v>
      </c>
      <c r="H834" s="9">
        <v>63</v>
      </c>
      <c r="I834" s="9">
        <f t="shared" si="58"/>
        <v>59.55</v>
      </c>
      <c r="J834" s="9"/>
      <c r="K834" s="3">
        <v>40</v>
      </c>
      <c r="L834" s="3">
        <v>18</v>
      </c>
    </row>
    <row r="835" spans="1:12" ht="18.75" customHeight="1">
      <c r="A835" s="3" t="str">
        <f>"10522018030110254082821"</f>
        <v>10522018030110254082821</v>
      </c>
      <c r="B835" s="8" t="s">
        <v>21</v>
      </c>
      <c r="C835" s="9" t="str">
        <f>"男"</f>
        <v>男</v>
      </c>
      <c r="D835" s="9" t="str">
        <f>"341223198803203751"</f>
        <v>341223198803203751</v>
      </c>
      <c r="E835" s="14" t="str">
        <f>"预防医学"</f>
        <v>预防医学</v>
      </c>
      <c r="F835" s="9" t="str">
        <f>"2018014019"</f>
        <v>2018014019</v>
      </c>
      <c r="G835" s="9">
        <v>52</v>
      </c>
      <c r="H835" s="9">
        <v>54.5</v>
      </c>
      <c r="I835" s="9">
        <f t="shared" ref="I835:I898" si="63">G835*0.3+H835*0.7</f>
        <v>53.75</v>
      </c>
      <c r="J835" s="9"/>
      <c r="K835" s="3">
        <v>40</v>
      </c>
      <c r="L835" s="3">
        <v>19</v>
      </c>
    </row>
    <row r="836" spans="1:12" ht="18.75" customHeight="1">
      <c r="A836" s="3" t="str">
        <f>"10522018030122134483042"</f>
        <v>10522018030122134483042</v>
      </c>
      <c r="B836" s="8" t="s">
        <v>22</v>
      </c>
      <c r="C836" s="9" t="str">
        <f>"男"</f>
        <v>男</v>
      </c>
      <c r="D836" s="9" t="str">
        <f>"341223199503060319"</f>
        <v>341223199503060319</v>
      </c>
      <c r="E836" s="14" t="str">
        <f>"预防医学"</f>
        <v>预防医学</v>
      </c>
      <c r="F836" s="9" t="str">
        <f>"2018014023"</f>
        <v>2018014023</v>
      </c>
      <c r="G836" s="9">
        <v>73</v>
      </c>
      <c r="H836" s="9">
        <v>101</v>
      </c>
      <c r="I836" s="9">
        <f t="shared" si="63"/>
        <v>92.6</v>
      </c>
      <c r="J836" s="9"/>
      <c r="K836" s="3">
        <v>40</v>
      </c>
      <c r="L836" s="3">
        <v>23</v>
      </c>
    </row>
    <row r="837" spans="1:12" ht="18.75" customHeight="1">
      <c r="A837" s="3" t="str">
        <f>"10522018022620253682057"</f>
        <v>10522018022620253682057</v>
      </c>
      <c r="B837" s="8" t="s">
        <v>22</v>
      </c>
      <c r="C837" s="9" t="str">
        <f>"男"</f>
        <v>男</v>
      </c>
      <c r="D837" s="9" t="str">
        <f>"341281199502230711"</f>
        <v>341281199502230711</v>
      </c>
      <c r="E837" s="14" t="str">
        <f>"预防医学专业"</f>
        <v>预防医学专业</v>
      </c>
      <c r="F837" s="9" t="str">
        <f>"2018014024"</f>
        <v>2018014024</v>
      </c>
      <c r="G837" s="9">
        <v>63</v>
      </c>
      <c r="H837" s="9">
        <v>91.5</v>
      </c>
      <c r="I837" s="9">
        <f t="shared" si="63"/>
        <v>82.949999999999989</v>
      </c>
      <c r="J837" s="9"/>
      <c r="K837" s="3">
        <v>40</v>
      </c>
      <c r="L837" s="3">
        <v>24</v>
      </c>
    </row>
    <row r="838" spans="1:12" ht="18.75" customHeight="1">
      <c r="A838" s="3" t="str">
        <f>"10522018022709532482157"</f>
        <v>10522018022709532482157</v>
      </c>
      <c r="B838" s="8" t="s">
        <v>22</v>
      </c>
      <c r="C838" s="9" t="str">
        <f>"女"</f>
        <v>女</v>
      </c>
      <c r="D838" s="9" t="str">
        <f>"341281199212216065"</f>
        <v>341281199212216065</v>
      </c>
      <c r="E838" s="14" t="str">
        <f>"预防医学"</f>
        <v>预防医学</v>
      </c>
      <c r="F838" s="9" t="str">
        <f>"2018014022"</f>
        <v>2018014022</v>
      </c>
      <c r="G838" s="9">
        <v>55</v>
      </c>
      <c r="H838" s="9">
        <v>84.5</v>
      </c>
      <c r="I838" s="9">
        <f t="shared" si="63"/>
        <v>75.650000000000006</v>
      </c>
      <c r="J838" s="9"/>
      <c r="K838" s="3">
        <v>40</v>
      </c>
      <c r="L838" s="3">
        <v>22</v>
      </c>
    </row>
    <row r="839" spans="1:12" ht="18.75" customHeight="1">
      <c r="A839" s="3" t="str">
        <f>"10522018022806291982456"</f>
        <v>10522018022806291982456</v>
      </c>
      <c r="B839" s="8" t="s">
        <v>22</v>
      </c>
      <c r="C839" s="9" t="str">
        <f>"男"</f>
        <v>男</v>
      </c>
      <c r="D839" s="9" t="str">
        <f>"342222199105086032"</f>
        <v>342222199105086032</v>
      </c>
      <c r="E839" s="14" t="str">
        <f>"预防医学"</f>
        <v>预防医学</v>
      </c>
      <c r="F839" s="9" t="str">
        <f>"2018014021"</f>
        <v>2018014021</v>
      </c>
      <c r="G839" s="9">
        <v>0</v>
      </c>
      <c r="H839" s="9">
        <v>0</v>
      </c>
      <c r="I839" s="9">
        <f t="shared" si="63"/>
        <v>0</v>
      </c>
      <c r="J839" s="10" t="s">
        <v>4</v>
      </c>
      <c r="K839" s="3">
        <v>40</v>
      </c>
      <c r="L839" s="3">
        <v>21</v>
      </c>
    </row>
    <row r="840" spans="1:12" ht="18.75" customHeight="1">
      <c r="A840" s="3" t="str">
        <f>"10522018022813025882578"</f>
        <v>10522018022813025882578</v>
      </c>
      <c r="B840" s="8" t="s">
        <v>23</v>
      </c>
      <c r="C840" s="9" t="str">
        <f>"女"</f>
        <v>女</v>
      </c>
      <c r="D840" s="9" t="str">
        <f>"341621199502063728"</f>
        <v>341621199502063728</v>
      </c>
      <c r="E840" s="14" t="str">
        <f t="shared" ref="E840:E846" si="64">"统计学"</f>
        <v>统计学</v>
      </c>
      <c r="F840" s="9" t="str">
        <f>"2018014104"</f>
        <v>2018014104</v>
      </c>
      <c r="G840" s="9">
        <v>47.5</v>
      </c>
      <c r="H840" s="9">
        <v>75</v>
      </c>
      <c r="I840" s="9">
        <f t="shared" si="63"/>
        <v>66.75</v>
      </c>
      <c r="J840" s="9"/>
      <c r="K840" s="3">
        <v>41</v>
      </c>
      <c r="L840" s="3">
        <v>4</v>
      </c>
    </row>
    <row r="841" spans="1:12" ht="18.75" customHeight="1">
      <c r="A841" s="3" t="str">
        <f>"10522018030107413382780"</f>
        <v>10522018030107413382780</v>
      </c>
      <c r="B841" s="8" t="s">
        <v>23</v>
      </c>
      <c r="C841" s="9" t="str">
        <f>"男"</f>
        <v>男</v>
      </c>
      <c r="D841" s="9" t="str">
        <f>"341281198810067472"</f>
        <v>341281198810067472</v>
      </c>
      <c r="E841" s="14" t="str">
        <f t="shared" si="64"/>
        <v>统计学</v>
      </c>
      <c r="F841" s="9" t="str">
        <f>"2018014103"</f>
        <v>2018014103</v>
      </c>
      <c r="G841" s="9">
        <v>57</v>
      </c>
      <c r="H841" s="9">
        <v>70</v>
      </c>
      <c r="I841" s="9">
        <f t="shared" si="63"/>
        <v>66.099999999999994</v>
      </c>
      <c r="J841" s="9"/>
      <c r="K841" s="3">
        <v>41</v>
      </c>
      <c r="L841" s="3">
        <v>3</v>
      </c>
    </row>
    <row r="842" spans="1:12" ht="18.75" customHeight="1">
      <c r="A842" s="3" t="str">
        <f>"10522018022715555782294"</f>
        <v>10522018022715555782294</v>
      </c>
      <c r="B842" s="8" t="s">
        <v>23</v>
      </c>
      <c r="C842" s="9" t="str">
        <f>"女"</f>
        <v>女</v>
      </c>
      <c r="D842" s="9" t="str">
        <f>"341621199605101723"</f>
        <v>341621199605101723</v>
      </c>
      <c r="E842" s="14" t="str">
        <f t="shared" si="64"/>
        <v>统计学</v>
      </c>
      <c r="F842" s="9" t="str">
        <f>"2018014101"</f>
        <v>2018014101</v>
      </c>
      <c r="G842" s="9">
        <v>47.5</v>
      </c>
      <c r="H842" s="9">
        <v>65.5</v>
      </c>
      <c r="I842" s="9">
        <f t="shared" si="63"/>
        <v>60.099999999999994</v>
      </c>
      <c r="J842" s="9"/>
      <c r="K842" s="3">
        <v>41</v>
      </c>
      <c r="L842" s="3">
        <v>1</v>
      </c>
    </row>
    <row r="843" spans="1:12" ht="18.75" customHeight="1">
      <c r="A843" s="3" t="str">
        <f>"10522018022718483382337"</f>
        <v>10522018022718483382337</v>
      </c>
      <c r="B843" s="8" t="s">
        <v>23</v>
      </c>
      <c r="C843" s="9" t="str">
        <f>"女"</f>
        <v>女</v>
      </c>
      <c r="D843" s="9" t="str">
        <f>"341227199402192369"</f>
        <v>341227199402192369</v>
      </c>
      <c r="E843" s="14" t="str">
        <f t="shared" si="64"/>
        <v>统计学</v>
      </c>
      <c r="F843" s="9" t="str">
        <f>"2018014102"</f>
        <v>2018014102</v>
      </c>
      <c r="G843" s="9">
        <v>44.5</v>
      </c>
      <c r="H843" s="9">
        <v>53</v>
      </c>
      <c r="I843" s="9">
        <f t="shared" si="63"/>
        <v>50.449999999999996</v>
      </c>
      <c r="J843" s="9"/>
      <c r="K843" s="3">
        <v>41</v>
      </c>
      <c r="L843" s="3">
        <v>2</v>
      </c>
    </row>
    <row r="844" spans="1:12" ht="18.75" customHeight="1">
      <c r="A844" s="3" t="str">
        <f>"10522018022615162881911"</f>
        <v>10522018022615162881911</v>
      </c>
      <c r="B844" s="8" t="s">
        <v>23</v>
      </c>
      <c r="C844" s="9" t="str">
        <f>"女"</f>
        <v>女</v>
      </c>
      <c r="D844" s="9" t="str">
        <f>"341621198801063520"</f>
        <v>341621198801063520</v>
      </c>
      <c r="E844" s="14" t="str">
        <f t="shared" si="64"/>
        <v>统计学</v>
      </c>
      <c r="F844" s="9" t="str">
        <f>"2018014105"</f>
        <v>2018014105</v>
      </c>
      <c r="G844" s="9">
        <v>36</v>
      </c>
      <c r="H844" s="9">
        <v>47</v>
      </c>
      <c r="I844" s="9">
        <f t="shared" si="63"/>
        <v>43.699999999999996</v>
      </c>
      <c r="J844" s="9"/>
      <c r="K844" s="3">
        <v>41</v>
      </c>
      <c r="L844" s="3">
        <v>5</v>
      </c>
    </row>
    <row r="845" spans="1:12" ht="18.75" customHeight="1">
      <c r="A845" s="3" t="str">
        <f>"10522018022610393781693"</f>
        <v>10522018022610393781693</v>
      </c>
      <c r="B845" s="8" t="s">
        <v>23</v>
      </c>
      <c r="C845" s="9" t="str">
        <f>"女"</f>
        <v>女</v>
      </c>
      <c r="D845" s="9" t="str">
        <f>"341281199509211564"</f>
        <v>341281199509211564</v>
      </c>
      <c r="E845" s="14" t="str">
        <f t="shared" si="64"/>
        <v>统计学</v>
      </c>
      <c r="F845" s="9" t="str">
        <f>"2018014107"</f>
        <v>2018014107</v>
      </c>
      <c r="G845" s="9">
        <v>49</v>
      </c>
      <c r="H845" s="9">
        <v>38</v>
      </c>
      <c r="I845" s="9">
        <f t="shared" si="63"/>
        <v>41.3</v>
      </c>
      <c r="J845" s="9"/>
      <c r="K845" s="3">
        <v>41</v>
      </c>
      <c r="L845" s="3">
        <v>7</v>
      </c>
    </row>
    <row r="846" spans="1:12" ht="18.75" customHeight="1">
      <c r="A846" s="3" t="str">
        <f>"10522018022613590881863"</f>
        <v>10522018022613590881863</v>
      </c>
      <c r="B846" s="8" t="s">
        <v>23</v>
      </c>
      <c r="C846" s="9" t="str">
        <f>"女"</f>
        <v>女</v>
      </c>
      <c r="D846" s="9" t="str">
        <f>"341223199509010945"</f>
        <v>341223199509010945</v>
      </c>
      <c r="E846" s="14" t="str">
        <f t="shared" si="64"/>
        <v>统计学</v>
      </c>
      <c r="F846" s="9" t="str">
        <f>"2018014106"</f>
        <v>2018014106</v>
      </c>
      <c r="G846" s="9">
        <v>50</v>
      </c>
      <c r="H846" s="9">
        <v>30.5</v>
      </c>
      <c r="I846" s="9">
        <f t="shared" si="63"/>
        <v>36.349999999999994</v>
      </c>
      <c r="J846" s="9"/>
      <c r="K846" s="3">
        <v>41</v>
      </c>
      <c r="L846" s="3">
        <v>6</v>
      </c>
    </row>
    <row r="847" spans="1:12" ht="18.75" customHeight="1">
      <c r="A847" s="3" t="str">
        <f>"10522018022719090082356"</f>
        <v>10522018022719090082356</v>
      </c>
      <c r="B847" s="8" t="s">
        <v>24</v>
      </c>
      <c r="C847" s="9" t="str">
        <f>"男"</f>
        <v>男</v>
      </c>
      <c r="D847" s="9" t="str">
        <f>"34162119950405311X"</f>
        <v>34162119950405311X</v>
      </c>
      <c r="E847" s="14" t="str">
        <f t="shared" ref="E847:E854" si="65">"中医学"</f>
        <v>中医学</v>
      </c>
      <c r="F847" s="9" t="str">
        <f>"2018014114"</f>
        <v>2018014114</v>
      </c>
      <c r="G847" s="9">
        <v>56</v>
      </c>
      <c r="H847" s="9">
        <v>95</v>
      </c>
      <c r="I847" s="9">
        <f t="shared" si="63"/>
        <v>83.3</v>
      </c>
      <c r="J847" s="9"/>
      <c r="K847" s="3">
        <v>41</v>
      </c>
      <c r="L847" s="3">
        <v>14</v>
      </c>
    </row>
    <row r="848" spans="1:12" ht="18.75" customHeight="1">
      <c r="A848" s="3" t="str">
        <f>"10522018030109432882810"</f>
        <v>10522018030109432882810</v>
      </c>
      <c r="B848" s="8" t="s">
        <v>24</v>
      </c>
      <c r="C848" s="9" t="str">
        <f>"男"</f>
        <v>男</v>
      </c>
      <c r="D848" s="9" t="str">
        <f>"341602199312023478"</f>
        <v>341602199312023478</v>
      </c>
      <c r="E848" s="14" t="str">
        <f t="shared" si="65"/>
        <v>中医学</v>
      </c>
      <c r="F848" s="9" t="str">
        <f>"2018014109"</f>
        <v>2018014109</v>
      </c>
      <c r="G848" s="9">
        <v>52.5</v>
      </c>
      <c r="H848" s="9">
        <v>93</v>
      </c>
      <c r="I848" s="9">
        <f t="shared" si="63"/>
        <v>80.849999999999994</v>
      </c>
      <c r="J848" s="9"/>
      <c r="K848" s="3">
        <v>41</v>
      </c>
      <c r="L848" s="3">
        <v>9</v>
      </c>
    </row>
    <row r="849" spans="1:12" ht="18.75" customHeight="1">
      <c r="A849" s="3" t="str">
        <f>"10522018022609113281586"</f>
        <v>10522018022609113281586</v>
      </c>
      <c r="B849" s="8" t="s">
        <v>24</v>
      </c>
      <c r="C849" s="9" t="str">
        <f>"女"</f>
        <v>女</v>
      </c>
      <c r="D849" s="9" t="str">
        <f>"342222199209116048"</f>
        <v>342222199209116048</v>
      </c>
      <c r="E849" s="14" t="str">
        <f t="shared" si="65"/>
        <v>中医学</v>
      </c>
      <c r="F849" s="9" t="str">
        <f>"2018014113"</f>
        <v>2018014113</v>
      </c>
      <c r="G849" s="9">
        <v>52.5</v>
      </c>
      <c r="H849" s="9">
        <v>79</v>
      </c>
      <c r="I849" s="9">
        <f t="shared" si="63"/>
        <v>71.05</v>
      </c>
      <c r="J849" s="9"/>
      <c r="K849" s="3">
        <v>41</v>
      </c>
      <c r="L849" s="3">
        <v>13</v>
      </c>
    </row>
    <row r="850" spans="1:12" ht="18.75" customHeight="1">
      <c r="A850" s="3" t="str">
        <f>"10522018022612525981815"</f>
        <v>10522018022612525981815</v>
      </c>
      <c r="B850" s="8" t="s">
        <v>24</v>
      </c>
      <c r="C850" s="9" t="str">
        <f>"男"</f>
        <v>男</v>
      </c>
      <c r="D850" s="9" t="str">
        <f>"342126199101023755"</f>
        <v>342126199101023755</v>
      </c>
      <c r="E850" s="14" t="str">
        <f t="shared" si="65"/>
        <v>中医学</v>
      </c>
      <c r="F850" s="9" t="str">
        <f>"2018014115"</f>
        <v>2018014115</v>
      </c>
      <c r="G850" s="9">
        <v>43.5</v>
      </c>
      <c r="H850" s="9">
        <v>66</v>
      </c>
      <c r="I850" s="9">
        <f t="shared" si="63"/>
        <v>59.249999999999993</v>
      </c>
      <c r="J850" s="9"/>
      <c r="K850" s="3">
        <v>41</v>
      </c>
      <c r="L850" s="3">
        <v>15</v>
      </c>
    </row>
    <row r="851" spans="1:12" ht="18.75" customHeight="1">
      <c r="A851" s="3" t="str">
        <f>"10522018030111530082855"</f>
        <v>10522018030111530082855</v>
      </c>
      <c r="B851" s="8" t="s">
        <v>24</v>
      </c>
      <c r="C851" s="9" t="str">
        <f>"男"</f>
        <v>男</v>
      </c>
      <c r="D851" s="9" t="str">
        <f>"34290119900218201X"</f>
        <v>34290119900218201X</v>
      </c>
      <c r="E851" s="14" t="str">
        <f t="shared" si="65"/>
        <v>中医学</v>
      </c>
      <c r="F851" s="9" t="str">
        <f>"2018014108"</f>
        <v>2018014108</v>
      </c>
      <c r="G851" s="9">
        <v>0</v>
      </c>
      <c r="H851" s="9">
        <v>0</v>
      </c>
      <c r="I851" s="9">
        <f t="shared" si="63"/>
        <v>0</v>
      </c>
      <c r="J851" s="10" t="s">
        <v>4</v>
      </c>
      <c r="K851" s="3">
        <v>41</v>
      </c>
      <c r="L851" s="3">
        <v>8</v>
      </c>
    </row>
    <row r="852" spans="1:12" ht="18.75" customHeight="1">
      <c r="A852" s="3" t="str">
        <f>"10522018030113204682889"</f>
        <v>10522018030113204682889</v>
      </c>
      <c r="B852" s="8" t="s">
        <v>24</v>
      </c>
      <c r="C852" s="9" t="str">
        <f>"女"</f>
        <v>女</v>
      </c>
      <c r="D852" s="9" t="str">
        <f>"341203199106120327"</f>
        <v>341203199106120327</v>
      </c>
      <c r="E852" s="14" t="str">
        <f t="shared" si="65"/>
        <v>中医学</v>
      </c>
      <c r="F852" s="9" t="str">
        <f>"2018014110"</f>
        <v>2018014110</v>
      </c>
      <c r="G852" s="9">
        <v>0</v>
      </c>
      <c r="H852" s="9">
        <v>0</v>
      </c>
      <c r="I852" s="9">
        <f t="shared" si="63"/>
        <v>0</v>
      </c>
      <c r="J852" s="10" t="s">
        <v>4</v>
      </c>
      <c r="K852" s="3">
        <v>41</v>
      </c>
      <c r="L852" s="3">
        <v>10</v>
      </c>
    </row>
    <row r="853" spans="1:12" ht="18.75" customHeight="1">
      <c r="A853" s="3" t="str">
        <f>"10522018022620542182076"</f>
        <v>10522018022620542182076</v>
      </c>
      <c r="B853" s="8" t="s">
        <v>24</v>
      </c>
      <c r="C853" s="9" t="str">
        <f>"男"</f>
        <v>男</v>
      </c>
      <c r="D853" s="9" t="str">
        <f>"341221198902091051"</f>
        <v>341221198902091051</v>
      </c>
      <c r="E853" s="14" t="str">
        <f t="shared" si="65"/>
        <v>中医学</v>
      </c>
      <c r="F853" s="9" t="str">
        <f>"2018014111"</f>
        <v>2018014111</v>
      </c>
      <c r="G853" s="9">
        <v>0</v>
      </c>
      <c r="H853" s="9">
        <v>0</v>
      </c>
      <c r="I853" s="9">
        <f t="shared" si="63"/>
        <v>0</v>
      </c>
      <c r="J853" s="10" t="s">
        <v>4</v>
      </c>
      <c r="K853" s="3">
        <v>41</v>
      </c>
      <c r="L853" s="3">
        <v>11</v>
      </c>
    </row>
    <row r="854" spans="1:12" ht="18.75" customHeight="1">
      <c r="A854" s="3" t="str">
        <f>"10522018022609333381617"</f>
        <v>10522018022609333381617</v>
      </c>
      <c r="B854" s="8" t="s">
        <v>24</v>
      </c>
      <c r="C854" s="9" t="str">
        <f>"女"</f>
        <v>女</v>
      </c>
      <c r="D854" s="9" t="str">
        <f>"341621199212152327"</f>
        <v>341621199212152327</v>
      </c>
      <c r="E854" s="14" t="str">
        <f t="shared" si="65"/>
        <v>中医学</v>
      </c>
      <c r="F854" s="9" t="str">
        <f>"2018014112"</f>
        <v>2018014112</v>
      </c>
      <c r="G854" s="9">
        <v>0</v>
      </c>
      <c r="H854" s="9">
        <v>0</v>
      </c>
      <c r="I854" s="9">
        <f t="shared" si="63"/>
        <v>0</v>
      </c>
      <c r="J854" s="10" t="s">
        <v>4</v>
      </c>
      <c r="K854" s="3">
        <v>41</v>
      </c>
      <c r="L854" s="3">
        <v>12</v>
      </c>
    </row>
    <row r="855" spans="1:12" ht="18.75" customHeight="1">
      <c r="A855" s="3" t="str">
        <f>"10522018022719082382355"</f>
        <v>10522018022719082382355</v>
      </c>
      <c r="B855" s="8" t="s">
        <v>25</v>
      </c>
      <c r="C855" s="9" t="str">
        <f>"女"</f>
        <v>女</v>
      </c>
      <c r="D855" s="9" t="str">
        <f>"341602199308062087"</f>
        <v>341602199308062087</v>
      </c>
      <c r="E855" s="14" t="str">
        <f>"中西医临床医学"</f>
        <v>中西医临床医学</v>
      </c>
      <c r="F855" s="9" t="str">
        <f>"2018014122"</f>
        <v>2018014122</v>
      </c>
      <c r="G855" s="9">
        <v>49.5</v>
      </c>
      <c r="H855" s="9">
        <v>62</v>
      </c>
      <c r="I855" s="9">
        <f t="shared" si="63"/>
        <v>58.25</v>
      </c>
      <c r="J855" s="9"/>
      <c r="K855" s="3">
        <v>41</v>
      </c>
      <c r="L855" s="3">
        <v>22</v>
      </c>
    </row>
    <row r="856" spans="1:12" ht="18.75" customHeight="1">
      <c r="A856" s="3" t="str">
        <f>"10522018022817071582660"</f>
        <v>10522018022817071582660</v>
      </c>
      <c r="B856" s="8" t="s">
        <v>25</v>
      </c>
      <c r="C856" s="9" t="str">
        <f>"男"</f>
        <v>男</v>
      </c>
      <c r="D856" s="9" t="str">
        <f>"341621199306063990"</f>
        <v>341621199306063990</v>
      </c>
      <c r="E856" s="14" t="str">
        <f>"中西医临床医学"</f>
        <v>中西医临床医学</v>
      </c>
      <c r="F856" s="9" t="str">
        <f>"2018014118"</f>
        <v>2018014118</v>
      </c>
      <c r="G856" s="9">
        <v>50</v>
      </c>
      <c r="H856" s="9">
        <v>61</v>
      </c>
      <c r="I856" s="9">
        <f t="shared" si="63"/>
        <v>57.699999999999996</v>
      </c>
      <c r="J856" s="9"/>
      <c r="K856" s="3">
        <v>41</v>
      </c>
      <c r="L856" s="3">
        <v>18</v>
      </c>
    </row>
    <row r="857" spans="1:12" ht="18.75" customHeight="1">
      <c r="A857" s="3" t="str">
        <f>"10522018030120294883017"</f>
        <v>10522018030120294883017</v>
      </c>
      <c r="B857" s="8" t="s">
        <v>25</v>
      </c>
      <c r="C857" s="9" t="str">
        <f>"男"</f>
        <v>男</v>
      </c>
      <c r="D857" s="9" t="str">
        <f>"341621199204222137"</f>
        <v>341621199204222137</v>
      </c>
      <c r="E857" s="14" t="str">
        <f>"中西医临床医学"</f>
        <v>中西医临床医学</v>
      </c>
      <c r="F857" s="9" t="str">
        <f>"2018014119"</f>
        <v>2018014119</v>
      </c>
      <c r="G857" s="9">
        <v>59</v>
      </c>
      <c r="H857" s="9">
        <v>50</v>
      </c>
      <c r="I857" s="9">
        <f t="shared" si="63"/>
        <v>52.7</v>
      </c>
      <c r="J857" s="9"/>
      <c r="K857" s="3">
        <v>41</v>
      </c>
      <c r="L857" s="3">
        <v>19</v>
      </c>
    </row>
    <row r="858" spans="1:12" ht="18.75" customHeight="1">
      <c r="A858" s="3" t="str">
        <f>"10522018022815535082642"</f>
        <v>10522018022815535082642</v>
      </c>
      <c r="B858" s="8" t="s">
        <v>25</v>
      </c>
      <c r="C858" s="9" t="str">
        <f>"男"</f>
        <v>男</v>
      </c>
      <c r="D858" s="9" t="str">
        <f>"360121199412227819"</f>
        <v>360121199412227819</v>
      </c>
      <c r="E858" s="14" t="str">
        <f>"中西医临床"</f>
        <v>中西医临床</v>
      </c>
      <c r="F858" s="9" t="str">
        <f>"2018014120"</f>
        <v>2018014120</v>
      </c>
      <c r="G858" s="9">
        <v>50.5</v>
      </c>
      <c r="H858" s="9">
        <v>43</v>
      </c>
      <c r="I858" s="9">
        <f t="shared" si="63"/>
        <v>45.25</v>
      </c>
      <c r="J858" s="9"/>
      <c r="K858" s="3">
        <v>41</v>
      </c>
      <c r="L858" s="3">
        <v>20</v>
      </c>
    </row>
    <row r="859" spans="1:12" ht="18.75" customHeight="1">
      <c r="A859" s="3" t="str">
        <f>"10522018022812031982553"</f>
        <v>10522018022812031982553</v>
      </c>
      <c r="B859" s="8" t="s">
        <v>25</v>
      </c>
      <c r="C859" s="9" t="str">
        <f>"男"</f>
        <v>男</v>
      </c>
      <c r="D859" s="9" t="str">
        <f>"341204199403012695"</f>
        <v>341204199403012695</v>
      </c>
      <c r="E859" s="14" t="str">
        <f>"中西医临床医学"</f>
        <v>中西医临床医学</v>
      </c>
      <c r="F859" s="9" t="str">
        <f>"2018014116"</f>
        <v>2018014116</v>
      </c>
      <c r="G859" s="9">
        <v>0</v>
      </c>
      <c r="H859" s="9">
        <v>0</v>
      </c>
      <c r="I859" s="9">
        <f t="shared" si="63"/>
        <v>0</v>
      </c>
      <c r="J859" s="10" t="s">
        <v>4</v>
      </c>
      <c r="K859" s="3">
        <v>41</v>
      </c>
      <c r="L859" s="3">
        <v>16</v>
      </c>
    </row>
    <row r="860" spans="1:12" ht="18.75" customHeight="1">
      <c r="A860" s="3" t="str">
        <f>"10522018030215424683194"</f>
        <v>10522018030215424683194</v>
      </c>
      <c r="B860" s="8" t="s">
        <v>25</v>
      </c>
      <c r="C860" s="9" t="str">
        <f>"女"</f>
        <v>女</v>
      </c>
      <c r="D860" s="9" t="str">
        <f>"341223199008111924"</f>
        <v>341223199008111924</v>
      </c>
      <c r="E860" s="14" t="str">
        <f>"中西医结余临床"</f>
        <v>中西医结余临床</v>
      </c>
      <c r="F860" s="9" t="str">
        <f>"2018014117"</f>
        <v>2018014117</v>
      </c>
      <c r="G860" s="9">
        <v>0</v>
      </c>
      <c r="H860" s="9">
        <v>0</v>
      </c>
      <c r="I860" s="9">
        <f t="shared" si="63"/>
        <v>0</v>
      </c>
      <c r="J860" s="10" t="s">
        <v>4</v>
      </c>
      <c r="K860" s="3">
        <v>41</v>
      </c>
      <c r="L860" s="3">
        <v>17</v>
      </c>
    </row>
    <row r="861" spans="1:12" ht="18.75" customHeight="1">
      <c r="A861" s="3" t="str">
        <f>"10522018030111263182840"</f>
        <v>10522018030111263182840</v>
      </c>
      <c r="B861" s="8" t="s">
        <v>25</v>
      </c>
      <c r="C861" s="9" t="str">
        <f>"女"</f>
        <v>女</v>
      </c>
      <c r="D861" s="9" t="str">
        <f>"341621199102022724"</f>
        <v>341621199102022724</v>
      </c>
      <c r="E861" s="14" t="str">
        <f>"中西医临床"</f>
        <v>中西医临床</v>
      </c>
      <c r="F861" s="9" t="str">
        <f>"2018014121"</f>
        <v>2018014121</v>
      </c>
      <c r="G861" s="9">
        <v>0</v>
      </c>
      <c r="H861" s="9">
        <v>0</v>
      </c>
      <c r="I861" s="9">
        <f t="shared" si="63"/>
        <v>0</v>
      </c>
      <c r="J861" s="10" t="s">
        <v>4</v>
      </c>
      <c r="K861" s="3">
        <v>41</v>
      </c>
      <c r="L861" s="3">
        <v>21</v>
      </c>
    </row>
    <row r="862" spans="1:12" ht="18.75" customHeight="1">
      <c r="A862" s="3" t="str">
        <f>"10522018022813311182591"</f>
        <v>10522018022813311182591</v>
      </c>
      <c r="B862" s="8" t="s">
        <v>26</v>
      </c>
      <c r="C862" s="9" t="str">
        <f>"女"</f>
        <v>女</v>
      </c>
      <c r="D862" s="9" t="str">
        <f>"341223199207125165"</f>
        <v>341223199207125165</v>
      </c>
      <c r="E862" s="14" t="str">
        <f>"临床医学"</f>
        <v>临床医学</v>
      </c>
      <c r="F862" s="9" t="str">
        <f>"2018013614"</f>
        <v>2018013614</v>
      </c>
      <c r="G862" s="9">
        <v>50</v>
      </c>
      <c r="H862" s="9">
        <v>83</v>
      </c>
      <c r="I862" s="9">
        <f t="shared" si="63"/>
        <v>73.099999999999994</v>
      </c>
      <c r="J862" s="9"/>
      <c r="K862" s="3">
        <v>36</v>
      </c>
      <c r="L862" s="3">
        <v>14</v>
      </c>
    </row>
    <row r="863" spans="1:12" ht="18.75" customHeight="1">
      <c r="A863" s="3" t="str">
        <f>"10522018022712044182209"</f>
        <v>10522018022712044182209</v>
      </c>
      <c r="B863" s="8" t="s">
        <v>26</v>
      </c>
      <c r="C863" s="9" t="str">
        <f>"男"</f>
        <v>男</v>
      </c>
      <c r="D863" s="9" t="str">
        <f>"142622199010223211"</f>
        <v>142622199010223211</v>
      </c>
      <c r="E863" s="14" t="str">
        <f>"临床医学"</f>
        <v>临床医学</v>
      </c>
      <c r="F863" s="9" t="str">
        <f>"2018013617"</f>
        <v>2018013617</v>
      </c>
      <c r="G863" s="9">
        <v>44</v>
      </c>
      <c r="H863" s="9">
        <v>71</v>
      </c>
      <c r="I863" s="9">
        <f t="shared" si="63"/>
        <v>62.899999999999991</v>
      </c>
      <c r="J863" s="9"/>
      <c r="K863" s="3">
        <v>36</v>
      </c>
      <c r="L863" s="3">
        <v>17</v>
      </c>
    </row>
    <row r="864" spans="1:12" ht="18.75" customHeight="1">
      <c r="A864" s="3" t="str">
        <f>"10522018030214065583152"</f>
        <v>10522018030214065583152</v>
      </c>
      <c r="B864" s="8" t="s">
        <v>26</v>
      </c>
      <c r="C864" s="9" t="str">
        <f>"男"</f>
        <v>男</v>
      </c>
      <c r="D864" s="9" t="str">
        <f>"341223199301150930"</f>
        <v>341223199301150930</v>
      </c>
      <c r="E864" s="14" t="str">
        <f>"临床医学"</f>
        <v>临床医学</v>
      </c>
      <c r="F864" s="9" t="str">
        <f>"2018013618"</f>
        <v>2018013618</v>
      </c>
      <c r="G864" s="9">
        <v>41</v>
      </c>
      <c r="H864" s="9">
        <v>72</v>
      </c>
      <c r="I864" s="9">
        <f t="shared" si="63"/>
        <v>62.699999999999996</v>
      </c>
      <c r="J864" s="9"/>
      <c r="K864" s="3">
        <v>36</v>
      </c>
      <c r="L864" s="3">
        <v>18</v>
      </c>
    </row>
    <row r="865" spans="1:12" ht="18.75" customHeight="1">
      <c r="A865" s="3" t="str">
        <f>"10522018022808345282465"</f>
        <v>10522018022808345282465</v>
      </c>
      <c r="B865" s="8" t="s">
        <v>26</v>
      </c>
      <c r="C865" s="9" t="str">
        <f>"女"</f>
        <v>女</v>
      </c>
      <c r="D865" s="9" t="str">
        <f>"341223199408090122"</f>
        <v>341223199408090122</v>
      </c>
      <c r="E865" s="14" t="str">
        <f>"临床医学"</f>
        <v>临床医学</v>
      </c>
      <c r="F865" s="9" t="str">
        <f>"2018013616"</f>
        <v>2018013616</v>
      </c>
      <c r="G865" s="9">
        <v>31</v>
      </c>
      <c r="H865" s="9">
        <v>69</v>
      </c>
      <c r="I865" s="9">
        <f t="shared" si="63"/>
        <v>57.599999999999994</v>
      </c>
      <c r="J865" s="9"/>
      <c r="K865" s="3">
        <v>36</v>
      </c>
      <c r="L865" s="3">
        <v>16</v>
      </c>
    </row>
    <row r="866" spans="1:12" ht="18.75" customHeight="1">
      <c r="A866" s="3" t="str">
        <f>"10522018022610055881649"</f>
        <v>10522018022610055881649</v>
      </c>
      <c r="B866" s="8" t="s">
        <v>26</v>
      </c>
      <c r="C866" s="9" t="str">
        <f>"女"</f>
        <v>女</v>
      </c>
      <c r="D866" s="9" t="str">
        <f>"410928198805193021"</f>
        <v>410928198805193021</v>
      </c>
      <c r="E866" s="14" t="str">
        <f>"临床医学"</f>
        <v>临床医学</v>
      </c>
      <c r="F866" s="9" t="str">
        <f>"2018013615"</f>
        <v>2018013615</v>
      </c>
      <c r="G866" s="9">
        <v>31</v>
      </c>
      <c r="H866" s="9">
        <v>67</v>
      </c>
      <c r="I866" s="9">
        <f t="shared" si="63"/>
        <v>56.199999999999996</v>
      </c>
      <c r="J866" s="9"/>
      <c r="K866" s="3">
        <v>36</v>
      </c>
      <c r="L866" s="3">
        <v>15</v>
      </c>
    </row>
    <row r="867" spans="1:12" ht="18.75" customHeight="1">
      <c r="A867" s="3" t="str">
        <f>"10522018030211312683117"</f>
        <v>10522018030211312683117</v>
      </c>
      <c r="B867" s="8" t="s">
        <v>26</v>
      </c>
      <c r="C867" s="9" t="str">
        <f>"女"</f>
        <v>女</v>
      </c>
      <c r="D867" s="9" t="str">
        <f>"341227199402067162"</f>
        <v>341227199402067162</v>
      </c>
      <c r="E867" s="14" t="str">
        <f>"临床医学专业"</f>
        <v>临床医学专业</v>
      </c>
      <c r="F867" s="9" t="str">
        <f>"2018013613"</f>
        <v>2018013613</v>
      </c>
      <c r="G867" s="9">
        <v>0</v>
      </c>
      <c r="H867" s="9">
        <v>0</v>
      </c>
      <c r="I867" s="9">
        <f t="shared" si="63"/>
        <v>0</v>
      </c>
      <c r="J867" s="10" t="s">
        <v>4</v>
      </c>
      <c r="K867" s="3">
        <v>36</v>
      </c>
      <c r="L867" s="3">
        <v>13</v>
      </c>
    </row>
    <row r="868" spans="1:12" ht="18.75" customHeight="1">
      <c r="A868" s="3" t="str">
        <f>"10522018022620352482066"</f>
        <v>10522018022620352482066</v>
      </c>
      <c r="B868" s="8" t="s">
        <v>27</v>
      </c>
      <c r="C868" s="9" t="str">
        <f>"女"</f>
        <v>女</v>
      </c>
      <c r="D868" s="9" t="str">
        <f>"210283199506300521"</f>
        <v>210283199506300521</v>
      </c>
      <c r="E868" s="14" t="str">
        <f t="shared" ref="E868:E873" si="66">"麻醉学"</f>
        <v>麻醉学</v>
      </c>
      <c r="F868" s="9" t="str">
        <f>"2018013626"</f>
        <v>2018013626</v>
      </c>
      <c r="G868" s="9">
        <v>51.5</v>
      </c>
      <c r="H868" s="9">
        <v>83</v>
      </c>
      <c r="I868" s="9">
        <f t="shared" si="63"/>
        <v>73.55</v>
      </c>
      <c r="J868" s="9"/>
      <c r="K868" s="3">
        <v>36</v>
      </c>
      <c r="L868" s="3">
        <v>26</v>
      </c>
    </row>
    <row r="869" spans="1:12" ht="18.75" customHeight="1">
      <c r="A869" s="3" t="str">
        <f>"10522018022812362382564"</f>
        <v>10522018022812362382564</v>
      </c>
      <c r="B869" s="8" t="s">
        <v>27</v>
      </c>
      <c r="C869" s="9" t="str">
        <f>"男"</f>
        <v>男</v>
      </c>
      <c r="D869" s="9" t="str">
        <f>"34122719950926481X"</f>
        <v>34122719950926481X</v>
      </c>
      <c r="E869" s="14" t="str">
        <f t="shared" si="66"/>
        <v>麻醉学</v>
      </c>
      <c r="F869" s="9" t="str">
        <f>"2018013629"</f>
        <v>2018013629</v>
      </c>
      <c r="G869" s="9">
        <v>54.5</v>
      </c>
      <c r="H869" s="9">
        <v>57</v>
      </c>
      <c r="I869" s="9">
        <f t="shared" si="63"/>
        <v>56.25</v>
      </c>
      <c r="J869" s="9"/>
      <c r="K869" s="3">
        <v>36</v>
      </c>
      <c r="L869" s="3">
        <v>29</v>
      </c>
    </row>
    <row r="870" spans="1:12" ht="18.75" customHeight="1">
      <c r="A870" s="3" t="str">
        <f>"10522018030215383583192"</f>
        <v>10522018030215383583192</v>
      </c>
      <c r="B870" s="8" t="s">
        <v>27</v>
      </c>
      <c r="C870" s="9" t="str">
        <f>"女"</f>
        <v>女</v>
      </c>
      <c r="D870" s="9" t="str">
        <f>"130224199505230023"</f>
        <v>130224199505230023</v>
      </c>
      <c r="E870" s="14" t="str">
        <f t="shared" si="66"/>
        <v>麻醉学</v>
      </c>
      <c r="F870" s="9" t="str">
        <f>"2018013625"</f>
        <v>2018013625</v>
      </c>
      <c r="G870" s="9">
        <v>0</v>
      </c>
      <c r="H870" s="9">
        <v>0</v>
      </c>
      <c r="I870" s="9">
        <f t="shared" si="63"/>
        <v>0</v>
      </c>
      <c r="J870" s="10" t="s">
        <v>4</v>
      </c>
      <c r="K870" s="3">
        <v>36</v>
      </c>
      <c r="L870" s="3">
        <v>25</v>
      </c>
    </row>
    <row r="871" spans="1:12" ht="18.75" customHeight="1">
      <c r="A871" s="3" t="str">
        <f>"10522018030214260983161"</f>
        <v>10522018030214260983161</v>
      </c>
      <c r="B871" s="8" t="s">
        <v>27</v>
      </c>
      <c r="C871" s="9" t="str">
        <f>"男"</f>
        <v>男</v>
      </c>
      <c r="D871" s="9" t="str">
        <f>"341223199005010933"</f>
        <v>341223199005010933</v>
      </c>
      <c r="E871" s="14" t="str">
        <f t="shared" si="66"/>
        <v>麻醉学</v>
      </c>
      <c r="F871" s="9" t="str">
        <f>"2018013627"</f>
        <v>2018013627</v>
      </c>
      <c r="G871" s="9">
        <v>0</v>
      </c>
      <c r="H871" s="9">
        <v>0</v>
      </c>
      <c r="I871" s="9">
        <f t="shared" si="63"/>
        <v>0</v>
      </c>
      <c r="J871" s="10" t="s">
        <v>4</v>
      </c>
      <c r="K871" s="3">
        <v>36</v>
      </c>
      <c r="L871" s="3">
        <v>27</v>
      </c>
    </row>
    <row r="872" spans="1:12" ht="18.75" customHeight="1">
      <c r="A872" s="3" t="str">
        <f>"10522018030215275383182"</f>
        <v>10522018030215275383182</v>
      </c>
      <c r="B872" s="8" t="s">
        <v>27</v>
      </c>
      <c r="C872" s="9" t="str">
        <f>"女"</f>
        <v>女</v>
      </c>
      <c r="D872" s="9" t="str">
        <f>"210321199502075028"</f>
        <v>210321199502075028</v>
      </c>
      <c r="E872" s="14" t="str">
        <f t="shared" si="66"/>
        <v>麻醉学</v>
      </c>
      <c r="F872" s="9" t="str">
        <f>"2018013628"</f>
        <v>2018013628</v>
      </c>
      <c r="G872" s="9">
        <v>0</v>
      </c>
      <c r="H872" s="9">
        <v>0</v>
      </c>
      <c r="I872" s="9">
        <f t="shared" si="63"/>
        <v>0</v>
      </c>
      <c r="J872" s="10" t="s">
        <v>4</v>
      </c>
      <c r="K872" s="3">
        <v>36</v>
      </c>
      <c r="L872" s="3">
        <v>28</v>
      </c>
    </row>
    <row r="873" spans="1:12" ht="18.75" customHeight="1">
      <c r="A873" s="3" t="str">
        <f>"10522018022621592682102"</f>
        <v>10522018022621592682102</v>
      </c>
      <c r="B873" s="8" t="s">
        <v>27</v>
      </c>
      <c r="C873" s="9" t="str">
        <f>"女"</f>
        <v>女</v>
      </c>
      <c r="D873" s="9" t="str">
        <f>"341281199202211068"</f>
        <v>341281199202211068</v>
      </c>
      <c r="E873" s="14" t="str">
        <f t="shared" si="66"/>
        <v>麻醉学</v>
      </c>
      <c r="F873" s="9" t="str">
        <f>"2018013630"</f>
        <v>2018013630</v>
      </c>
      <c r="G873" s="9">
        <v>0</v>
      </c>
      <c r="H873" s="9">
        <v>0</v>
      </c>
      <c r="I873" s="9">
        <f t="shared" si="63"/>
        <v>0</v>
      </c>
      <c r="J873" s="10" t="s">
        <v>4</v>
      </c>
      <c r="K873" s="3">
        <v>36</v>
      </c>
      <c r="L873" s="3">
        <v>30</v>
      </c>
    </row>
    <row r="874" spans="1:12" ht="18.75" customHeight="1">
      <c r="A874" s="3" t="str">
        <f>"10522018022610422481701"</f>
        <v>10522018022610422481701</v>
      </c>
      <c r="B874" s="8" t="s">
        <v>28</v>
      </c>
      <c r="C874" s="9" t="str">
        <f>"男"</f>
        <v>男</v>
      </c>
      <c r="D874" s="9" t="str">
        <f>"341281199111262855"</f>
        <v>341281199111262855</v>
      </c>
      <c r="E874" s="14" t="str">
        <f>"口腔医学"</f>
        <v>口腔医学</v>
      </c>
      <c r="F874" s="9" t="str">
        <f>"2018013712"</f>
        <v>2018013712</v>
      </c>
      <c r="G874" s="9">
        <v>46</v>
      </c>
      <c r="H874" s="9">
        <v>88</v>
      </c>
      <c r="I874" s="9">
        <f t="shared" si="63"/>
        <v>75.399999999999991</v>
      </c>
      <c r="J874" s="9"/>
      <c r="K874" s="3">
        <v>37</v>
      </c>
      <c r="L874" s="3">
        <v>12</v>
      </c>
    </row>
    <row r="875" spans="1:12" ht="18.75" customHeight="1">
      <c r="A875" s="3" t="str">
        <f>"10522018022609112781585"</f>
        <v>10522018022609112781585</v>
      </c>
      <c r="B875" s="8" t="s">
        <v>28</v>
      </c>
      <c r="C875" s="9" t="str">
        <f>"男"</f>
        <v>男</v>
      </c>
      <c r="D875" s="9" t="str">
        <f>"341281199409073213"</f>
        <v>341281199409073213</v>
      </c>
      <c r="E875" s="14" t="str">
        <f>"口腔医学"</f>
        <v>口腔医学</v>
      </c>
      <c r="F875" s="9" t="str">
        <f>"2018013710"</f>
        <v>2018013710</v>
      </c>
      <c r="G875" s="9">
        <v>60</v>
      </c>
      <c r="H875" s="9">
        <v>71</v>
      </c>
      <c r="I875" s="9">
        <f t="shared" si="63"/>
        <v>67.699999999999989</v>
      </c>
      <c r="J875" s="9"/>
      <c r="K875" s="3">
        <v>37</v>
      </c>
      <c r="L875" s="3">
        <v>10</v>
      </c>
    </row>
    <row r="876" spans="1:12" ht="18.75" customHeight="1">
      <c r="A876" s="3" t="str">
        <f>"10522018030215331383188"</f>
        <v>10522018030215331383188</v>
      </c>
      <c r="B876" s="8" t="s">
        <v>28</v>
      </c>
      <c r="C876" s="9" t="str">
        <f>"男"</f>
        <v>男</v>
      </c>
      <c r="D876" s="9" t="str">
        <f>"210281199601311234"</f>
        <v>210281199601311234</v>
      </c>
      <c r="E876" s="14" t="str">
        <f>"口腔医学"</f>
        <v>口腔医学</v>
      </c>
      <c r="F876" s="9" t="str">
        <f>"2018013709"</f>
        <v>2018013709</v>
      </c>
      <c r="G876" s="9">
        <v>33</v>
      </c>
      <c r="H876" s="9">
        <v>46</v>
      </c>
      <c r="I876" s="9">
        <f t="shared" si="63"/>
        <v>42.099999999999994</v>
      </c>
      <c r="J876" s="9"/>
      <c r="K876" s="3">
        <v>37</v>
      </c>
      <c r="L876" s="3">
        <v>9</v>
      </c>
    </row>
    <row r="877" spans="1:12" ht="18.75" customHeight="1">
      <c r="A877" s="3" t="str">
        <f>"10522018030215103583178"</f>
        <v>10522018030215103583178</v>
      </c>
      <c r="B877" s="8" t="s">
        <v>28</v>
      </c>
      <c r="C877" s="9" t="str">
        <f>"男"</f>
        <v>男</v>
      </c>
      <c r="D877" s="9" t="str">
        <f>"140411199405186038"</f>
        <v>140411199405186038</v>
      </c>
      <c r="E877" s="14" t="str">
        <f>"口腔医学"</f>
        <v>口腔医学</v>
      </c>
      <c r="F877" s="9" t="str">
        <f>"2018013711"</f>
        <v>2018013711</v>
      </c>
      <c r="G877" s="9">
        <v>0</v>
      </c>
      <c r="H877" s="9">
        <v>0</v>
      </c>
      <c r="I877" s="9">
        <f t="shared" si="63"/>
        <v>0</v>
      </c>
      <c r="J877" s="10" t="s">
        <v>4</v>
      </c>
      <c r="K877" s="3">
        <v>37</v>
      </c>
      <c r="L877" s="3">
        <v>11</v>
      </c>
    </row>
    <row r="878" spans="1:12" ht="18.75" customHeight="1">
      <c r="A878" s="3" t="str">
        <f>"10522018022814591782625"</f>
        <v>10522018022814591782625</v>
      </c>
      <c r="B878" s="8" t="s">
        <v>29</v>
      </c>
      <c r="C878" s="9" t="str">
        <f>"女"</f>
        <v>女</v>
      </c>
      <c r="D878" s="9" t="str">
        <f>"340621199309141623"</f>
        <v>340621199309141623</v>
      </c>
      <c r="E878" s="14" t="str">
        <f>"医学检验"</f>
        <v>医学检验</v>
      </c>
      <c r="F878" s="9" t="str">
        <f>"2018013913"</f>
        <v>2018013913</v>
      </c>
      <c r="G878" s="9">
        <v>59.5</v>
      </c>
      <c r="H878" s="9">
        <v>99</v>
      </c>
      <c r="I878" s="9">
        <f t="shared" si="63"/>
        <v>87.149999999999991</v>
      </c>
      <c r="J878" s="9"/>
      <c r="K878" s="3">
        <v>39</v>
      </c>
      <c r="L878" s="3">
        <v>13</v>
      </c>
    </row>
    <row r="879" spans="1:12" ht="18.75" customHeight="1">
      <c r="A879" s="3" t="str">
        <f>"10522018022719330882369"</f>
        <v>10522018022719330882369</v>
      </c>
      <c r="B879" s="8" t="s">
        <v>29</v>
      </c>
      <c r="C879" s="9" t="str">
        <f>"男"</f>
        <v>男</v>
      </c>
      <c r="D879" s="9" t="str">
        <f>"341226199509250411"</f>
        <v>341226199509250411</v>
      </c>
      <c r="E879" s="14" t="str">
        <f>"医学检验技术"</f>
        <v>医学检验技术</v>
      </c>
      <c r="F879" s="9" t="str">
        <f>"2018010429"</f>
        <v>2018010429</v>
      </c>
      <c r="G879" s="9">
        <v>53</v>
      </c>
      <c r="H879" s="9">
        <v>101</v>
      </c>
      <c r="I879" s="9">
        <f t="shared" si="63"/>
        <v>86.6</v>
      </c>
      <c r="J879" s="9"/>
      <c r="K879" s="3">
        <v>4</v>
      </c>
      <c r="L879" s="3">
        <v>29</v>
      </c>
    </row>
    <row r="880" spans="1:12" ht="18.75" customHeight="1">
      <c r="A880" s="3" t="str">
        <f>"10522018022717382682317"</f>
        <v>10522018022717382682317</v>
      </c>
      <c r="B880" s="8" t="s">
        <v>29</v>
      </c>
      <c r="C880" s="9" t="str">
        <f>"女"</f>
        <v>女</v>
      </c>
      <c r="D880" s="9" t="str">
        <f>"341281199209087469"</f>
        <v>341281199209087469</v>
      </c>
      <c r="E880" s="14" t="str">
        <f>"医学检验"</f>
        <v>医学检验</v>
      </c>
      <c r="F880" s="9" t="str">
        <f>"2018013909"</f>
        <v>2018013909</v>
      </c>
      <c r="G880" s="9">
        <v>63</v>
      </c>
      <c r="H880" s="9">
        <v>88</v>
      </c>
      <c r="I880" s="9">
        <f t="shared" si="63"/>
        <v>80.5</v>
      </c>
      <c r="J880" s="9"/>
      <c r="K880" s="3">
        <v>39</v>
      </c>
      <c r="L880" s="3">
        <v>9</v>
      </c>
    </row>
    <row r="881" spans="1:12" ht="18.75" customHeight="1">
      <c r="A881" s="3" t="str">
        <f>"10522018022613293981846"</f>
        <v>10522018022613293981846</v>
      </c>
      <c r="B881" s="8" t="s">
        <v>29</v>
      </c>
      <c r="C881" s="9" t="str">
        <f>"女"</f>
        <v>女</v>
      </c>
      <c r="D881" s="9" t="str">
        <f>"341222199608068206"</f>
        <v>341222199608068206</v>
      </c>
      <c r="E881" s="14" t="str">
        <f>"医学检验技术"</f>
        <v>医学检验技术</v>
      </c>
      <c r="F881" s="9" t="str">
        <f>"2018013908"</f>
        <v>2018013908</v>
      </c>
      <c r="G881" s="9">
        <v>52</v>
      </c>
      <c r="H881" s="9">
        <v>90</v>
      </c>
      <c r="I881" s="9">
        <f t="shared" si="63"/>
        <v>78.599999999999994</v>
      </c>
      <c r="J881" s="9"/>
      <c r="K881" s="3">
        <v>39</v>
      </c>
      <c r="L881" s="3">
        <v>8</v>
      </c>
    </row>
    <row r="882" spans="1:12" ht="18.75" customHeight="1">
      <c r="A882" s="3" t="str">
        <f>"10522018022714573782271"</f>
        <v>10522018022714573782271</v>
      </c>
      <c r="B882" s="8" t="s">
        <v>29</v>
      </c>
      <c r="C882" s="9" t="str">
        <f>"男"</f>
        <v>男</v>
      </c>
      <c r="D882" s="9" t="str">
        <f>"341223199403012176"</f>
        <v>341223199403012176</v>
      </c>
      <c r="E882" s="14" t="str">
        <f>"医学检验技术"</f>
        <v>医学检验技术</v>
      </c>
      <c r="F882" s="9" t="str">
        <f>"2018013907"</f>
        <v>2018013907</v>
      </c>
      <c r="G882" s="9">
        <v>67.5</v>
      </c>
      <c r="H882" s="9">
        <v>83</v>
      </c>
      <c r="I882" s="9">
        <f t="shared" si="63"/>
        <v>78.349999999999994</v>
      </c>
      <c r="J882" s="9"/>
      <c r="K882" s="3">
        <v>39</v>
      </c>
      <c r="L882" s="3">
        <v>7</v>
      </c>
    </row>
    <row r="883" spans="1:12" ht="18.75" customHeight="1">
      <c r="A883" s="3" t="str">
        <f>"10522018022609015981558"</f>
        <v>10522018022609015981558</v>
      </c>
      <c r="B883" s="8" t="s">
        <v>29</v>
      </c>
      <c r="C883" s="9" t="str">
        <f>"女"</f>
        <v>女</v>
      </c>
      <c r="D883" s="9" t="str">
        <f>"340621199006087869"</f>
        <v>340621199006087869</v>
      </c>
      <c r="E883" s="14" t="str">
        <f>"医学检验"</f>
        <v>医学检验</v>
      </c>
      <c r="F883" s="9" t="str">
        <f>"2018013906"</f>
        <v>2018013906</v>
      </c>
      <c r="G883" s="9">
        <v>37</v>
      </c>
      <c r="H883" s="9">
        <v>93</v>
      </c>
      <c r="I883" s="9">
        <f t="shared" si="63"/>
        <v>76.199999999999989</v>
      </c>
      <c r="J883" s="9"/>
      <c r="K883" s="3">
        <v>39</v>
      </c>
      <c r="L883" s="3">
        <v>6</v>
      </c>
    </row>
    <row r="884" spans="1:12" ht="18.75" customHeight="1">
      <c r="A884" s="3" t="str">
        <f>"10522018022618392282017"</f>
        <v>10522018022618392282017</v>
      </c>
      <c r="B884" s="8" t="s">
        <v>29</v>
      </c>
      <c r="C884" s="9" t="str">
        <f>"男"</f>
        <v>男</v>
      </c>
      <c r="D884" s="9" t="str">
        <f>"341281199510162456"</f>
        <v>341281199510162456</v>
      </c>
      <c r="E884" s="14" t="str">
        <f t="shared" ref="E884:E889" si="67">"医学检验技术"</f>
        <v>医学检验技术</v>
      </c>
      <c r="F884" s="9" t="str">
        <f>"2018013911"</f>
        <v>2018013911</v>
      </c>
      <c r="G884" s="9">
        <v>55.5</v>
      </c>
      <c r="H884" s="9">
        <v>73</v>
      </c>
      <c r="I884" s="9">
        <f t="shared" si="63"/>
        <v>67.75</v>
      </c>
      <c r="J884" s="9"/>
      <c r="K884" s="3">
        <v>39</v>
      </c>
      <c r="L884" s="3">
        <v>11</v>
      </c>
    </row>
    <row r="885" spans="1:12" ht="18.75" customHeight="1">
      <c r="A885" s="3" t="str">
        <f>"10522018022616092281943"</f>
        <v>10522018022616092281943</v>
      </c>
      <c r="B885" s="8" t="s">
        <v>29</v>
      </c>
      <c r="C885" s="9" t="str">
        <f>"男"</f>
        <v>男</v>
      </c>
      <c r="D885" s="9" t="str">
        <f>"341224199405068719"</f>
        <v>341224199405068719</v>
      </c>
      <c r="E885" s="14" t="str">
        <f t="shared" si="67"/>
        <v>医学检验技术</v>
      </c>
      <c r="F885" s="9" t="str">
        <f>"2018013905"</f>
        <v>2018013905</v>
      </c>
      <c r="G885" s="9">
        <v>72.5</v>
      </c>
      <c r="H885" s="9">
        <v>65</v>
      </c>
      <c r="I885" s="9">
        <f t="shared" si="63"/>
        <v>67.25</v>
      </c>
      <c r="J885" s="9"/>
      <c r="K885" s="3">
        <v>39</v>
      </c>
      <c r="L885" s="3">
        <v>5</v>
      </c>
    </row>
    <row r="886" spans="1:12" ht="18.75" customHeight="1">
      <c r="A886" s="3" t="str">
        <f>"10522018022709223182143"</f>
        <v>10522018022709223182143</v>
      </c>
      <c r="B886" s="8" t="s">
        <v>29</v>
      </c>
      <c r="C886" s="9" t="str">
        <f>"男"</f>
        <v>男</v>
      </c>
      <c r="D886" s="9" t="str">
        <f>"341227199509106213"</f>
        <v>341227199509106213</v>
      </c>
      <c r="E886" s="14" t="str">
        <f t="shared" si="67"/>
        <v>医学检验技术</v>
      </c>
      <c r="F886" s="9" t="str">
        <f>"2018013914"</f>
        <v>2018013914</v>
      </c>
      <c r="G886" s="9">
        <v>47.5</v>
      </c>
      <c r="H886" s="9">
        <v>63</v>
      </c>
      <c r="I886" s="9">
        <f t="shared" si="63"/>
        <v>58.349999999999994</v>
      </c>
      <c r="J886" s="9"/>
      <c r="K886" s="3">
        <v>39</v>
      </c>
      <c r="L886" s="3">
        <v>14</v>
      </c>
    </row>
    <row r="887" spans="1:12" ht="18.75" customHeight="1">
      <c r="A887" s="3" t="str">
        <f>"10522018022822431182766"</f>
        <v>10522018022822431182766</v>
      </c>
      <c r="B887" s="8" t="s">
        <v>29</v>
      </c>
      <c r="C887" s="9" t="str">
        <f>"女"</f>
        <v>女</v>
      </c>
      <c r="D887" s="9" t="str">
        <f>"34122319950520032X"</f>
        <v>34122319950520032X</v>
      </c>
      <c r="E887" s="14" t="str">
        <f t="shared" si="67"/>
        <v>医学检验技术</v>
      </c>
      <c r="F887" s="9" t="str">
        <f>"2018010430"</f>
        <v>2018010430</v>
      </c>
      <c r="G887" s="9">
        <v>61.5</v>
      </c>
      <c r="H887" s="9">
        <v>52</v>
      </c>
      <c r="I887" s="9">
        <f t="shared" si="63"/>
        <v>54.849999999999994</v>
      </c>
      <c r="J887" s="9"/>
      <c r="K887" s="3">
        <v>4</v>
      </c>
      <c r="L887" s="3">
        <v>30</v>
      </c>
    </row>
    <row r="888" spans="1:12" ht="18.75" customHeight="1">
      <c r="A888" s="3" t="str">
        <f>"10522018030110523182830"</f>
        <v>10522018030110523182830</v>
      </c>
      <c r="B888" s="8" t="s">
        <v>29</v>
      </c>
      <c r="C888" s="9" t="str">
        <f>"男"</f>
        <v>男</v>
      </c>
      <c r="D888" s="9" t="str">
        <f>"341621199302113110"</f>
        <v>341621199302113110</v>
      </c>
      <c r="E888" s="14" t="str">
        <f t="shared" si="67"/>
        <v>医学检验技术</v>
      </c>
      <c r="F888" s="9" t="str">
        <f>"2018013910"</f>
        <v>2018013910</v>
      </c>
      <c r="G888" s="9">
        <v>48</v>
      </c>
      <c r="H888" s="9">
        <v>53</v>
      </c>
      <c r="I888" s="9">
        <f t="shared" si="63"/>
        <v>51.499999999999993</v>
      </c>
      <c r="J888" s="9"/>
      <c r="K888" s="3">
        <v>39</v>
      </c>
      <c r="L888" s="3">
        <v>10</v>
      </c>
    </row>
    <row r="889" spans="1:12" ht="18.75" customHeight="1">
      <c r="A889" s="3" t="str">
        <f>"10522018022711582682206"</f>
        <v>10522018022711582682206</v>
      </c>
      <c r="B889" s="8" t="s">
        <v>29</v>
      </c>
      <c r="C889" s="9" t="str">
        <f>"男"</f>
        <v>男</v>
      </c>
      <c r="D889" s="9" t="str">
        <f>"341203199710021536"</f>
        <v>341203199710021536</v>
      </c>
      <c r="E889" s="14" t="str">
        <f t="shared" si="67"/>
        <v>医学检验技术</v>
      </c>
      <c r="F889" s="9" t="str">
        <f>"2018013912"</f>
        <v>2018013912</v>
      </c>
      <c r="G889" s="9">
        <v>0</v>
      </c>
      <c r="H889" s="9">
        <v>0</v>
      </c>
      <c r="I889" s="9">
        <f t="shared" si="63"/>
        <v>0</v>
      </c>
      <c r="J889" s="10" t="s">
        <v>4</v>
      </c>
      <c r="K889" s="3">
        <v>39</v>
      </c>
      <c r="L889" s="3">
        <v>12</v>
      </c>
    </row>
    <row r="890" spans="1:12" ht="18.75" customHeight="1">
      <c r="A890" s="3" t="str">
        <f>"10522018030209344383089"</f>
        <v>10522018030209344383089</v>
      </c>
      <c r="B890" s="8" t="s">
        <v>30</v>
      </c>
      <c r="C890" s="9" t="str">
        <f t="shared" ref="C890:C895" si="68">"女"</f>
        <v>女</v>
      </c>
      <c r="D890" s="9" t="str">
        <f>"341282199404274047"</f>
        <v>341282199404274047</v>
      </c>
      <c r="E890" s="14" t="str">
        <f t="shared" ref="E890:E901" si="69">"中药学"</f>
        <v>中药学</v>
      </c>
      <c r="F890" s="9" t="str">
        <f>"2018013929"</f>
        <v>2018013929</v>
      </c>
      <c r="G890" s="9">
        <v>52</v>
      </c>
      <c r="H890" s="9">
        <v>88</v>
      </c>
      <c r="I890" s="9">
        <f t="shared" si="63"/>
        <v>77.199999999999989</v>
      </c>
      <c r="J890" s="9"/>
      <c r="K890" s="3">
        <v>39</v>
      </c>
      <c r="L890" s="3">
        <v>29</v>
      </c>
    </row>
    <row r="891" spans="1:12" ht="18.75" customHeight="1">
      <c r="A891" s="3" t="str">
        <f>"10522018022821304682748"</f>
        <v>10522018022821304682748</v>
      </c>
      <c r="B891" s="8" t="s">
        <v>30</v>
      </c>
      <c r="C891" s="9" t="str">
        <f t="shared" si="68"/>
        <v>女</v>
      </c>
      <c r="D891" s="9" t="str">
        <f>"341621199409041727"</f>
        <v>341621199409041727</v>
      </c>
      <c r="E891" s="14" t="str">
        <f t="shared" si="69"/>
        <v>中药学</v>
      </c>
      <c r="F891" s="9" t="str">
        <f>"2018013928"</f>
        <v>2018013928</v>
      </c>
      <c r="G891" s="9">
        <v>68</v>
      </c>
      <c r="H891" s="9">
        <v>74</v>
      </c>
      <c r="I891" s="9">
        <f t="shared" si="63"/>
        <v>72.199999999999989</v>
      </c>
      <c r="J891" s="9"/>
      <c r="K891" s="3">
        <v>39</v>
      </c>
      <c r="L891" s="3">
        <v>28</v>
      </c>
    </row>
    <row r="892" spans="1:12" ht="18.75" customHeight="1">
      <c r="A892" s="3" t="str">
        <f>"10522018022618392382016"</f>
        <v>10522018022618392382016</v>
      </c>
      <c r="B892" s="8" t="s">
        <v>30</v>
      </c>
      <c r="C892" s="9" t="str">
        <f t="shared" si="68"/>
        <v>女</v>
      </c>
      <c r="D892" s="9" t="str">
        <f>"341622199108118723"</f>
        <v>341622199108118723</v>
      </c>
      <c r="E892" s="14" t="str">
        <f t="shared" si="69"/>
        <v>中药学</v>
      </c>
      <c r="F892" s="9" t="str">
        <f>"2018013927"</f>
        <v>2018013927</v>
      </c>
      <c r="G892" s="9">
        <v>71</v>
      </c>
      <c r="H892" s="9">
        <v>70</v>
      </c>
      <c r="I892" s="9">
        <f t="shared" si="63"/>
        <v>70.3</v>
      </c>
      <c r="J892" s="9"/>
      <c r="K892" s="3">
        <v>39</v>
      </c>
      <c r="L892" s="3">
        <v>27</v>
      </c>
    </row>
    <row r="893" spans="1:12" ht="18.75" customHeight="1">
      <c r="A893" s="3" t="str">
        <f>"10522018022617541381998"</f>
        <v>10522018022617541381998</v>
      </c>
      <c r="B893" s="8" t="s">
        <v>30</v>
      </c>
      <c r="C893" s="9" t="str">
        <f t="shared" si="68"/>
        <v>女</v>
      </c>
      <c r="D893" s="9" t="str">
        <f>"341621199212294149"</f>
        <v>341621199212294149</v>
      </c>
      <c r="E893" s="14" t="str">
        <f t="shared" si="69"/>
        <v>中药学</v>
      </c>
      <c r="F893" s="9" t="str">
        <f>"2018013924"</f>
        <v>2018013924</v>
      </c>
      <c r="G893" s="9">
        <v>46.5</v>
      </c>
      <c r="H893" s="9">
        <v>80</v>
      </c>
      <c r="I893" s="9">
        <f t="shared" si="63"/>
        <v>69.95</v>
      </c>
      <c r="J893" s="9"/>
      <c r="K893" s="3">
        <v>39</v>
      </c>
      <c r="L893" s="3">
        <v>24</v>
      </c>
    </row>
    <row r="894" spans="1:12" ht="18.75" customHeight="1">
      <c r="A894" s="3" t="str">
        <f>"10522018022813322782593"</f>
        <v>10522018022813322782593</v>
      </c>
      <c r="B894" s="8" t="s">
        <v>30</v>
      </c>
      <c r="C894" s="9" t="str">
        <f t="shared" si="68"/>
        <v>女</v>
      </c>
      <c r="D894" s="9" t="str">
        <f>"341621199305060720"</f>
        <v>341621199305060720</v>
      </c>
      <c r="E894" s="14" t="str">
        <f t="shared" si="69"/>
        <v>中药学</v>
      </c>
      <c r="F894" s="9" t="str">
        <f>"2018013926"</f>
        <v>2018013926</v>
      </c>
      <c r="G894" s="9">
        <v>45</v>
      </c>
      <c r="H894" s="9">
        <v>78</v>
      </c>
      <c r="I894" s="9">
        <f t="shared" si="63"/>
        <v>68.099999999999994</v>
      </c>
      <c r="J894" s="9"/>
      <c r="K894" s="3">
        <v>39</v>
      </c>
      <c r="L894" s="3">
        <v>26</v>
      </c>
    </row>
    <row r="895" spans="1:12" ht="18.75" customHeight="1">
      <c r="A895" s="3" t="str">
        <f>"10522018022614413181891"</f>
        <v>10522018022614413181891</v>
      </c>
      <c r="B895" s="8" t="s">
        <v>30</v>
      </c>
      <c r="C895" s="9" t="str">
        <f t="shared" si="68"/>
        <v>女</v>
      </c>
      <c r="D895" s="9" t="str">
        <f>"341223199607270724"</f>
        <v>341223199607270724</v>
      </c>
      <c r="E895" s="14" t="str">
        <f t="shared" si="69"/>
        <v>中药学</v>
      </c>
      <c r="F895" s="9" t="str">
        <f>"2018013923"</f>
        <v>2018013923</v>
      </c>
      <c r="G895" s="9">
        <v>63.5</v>
      </c>
      <c r="H895" s="9">
        <v>69</v>
      </c>
      <c r="I895" s="9">
        <f t="shared" si="63"/>
        <v>67.349999999999994</v>
      </c>
      <c r="J895" s="9"/>
      <c r="K895" s="3">
        <v>39</v>
      </c>
      <c r="L895" s="3">
        <v>23</v>
      </c>
    </row>
    <row r="896" spans="1:12" ht="18.75" customHeight="1">
      <c r="A896" s="3" t="str">
        <f>"10522018030110494782829"</f>
        <v>10522018030110494782829</v>
      </c>
      <c r="B896" s="8" t="s">
        <v>30</v>
      </c>
      <c r="C896" s="9" t="str">
        <f>"男"</f>
        <v>男</v>
      </c>
      <c r="D896" s="9" t="str">
        <f>"341227199304061015"</f>
        <v>341227199304061015</v>
      </c>
      <c r="E896" s="14" t="str">
        <f t="shared" si="69"/>
        <v>中药学</v>
      </c>
      <c r="F896" s="9" t="str">
        <f>"2018013921"</f>
        <v>2018013921</v>
      </c>
      <c r="G896" s="9">
        <v>65</v>
      </c>
      <c r="H896" s="9">
        <v>65</v>
      </c>
      <c r="I896" s="9">
        <f t="shared" si="63"/>
        <v>65</v>
      </c>
      <c r="J896" s="9"/>
      <c r="K896" s="3">
        <v>39</v>
      </c>
      <c r="L896" s="3">
        <v>21</v>
      </c>
    </row>
    <row r="897" spans="1:12" ht="18.75" customHeight="1">
      <c r="A897" s="3" t="str">
        <f>"10522018022818532182695"</f>
        <v>10522018022818532182695</v>
      </c>
      <c r="B897" s="8" t="s">
        <v>30</v>
      </c>
      <c r="C897" s="9" t="str">
        <f>"女"</f>
        <v>女</v>
      </c>
      <c r="D897" s="9" t="str">
        <f>"341602199306115827"</f>
        <v>341602199306115827</v>
      </c>
      <c r="E897" s="14" t="str">
        <f t="shared" si="69"/>
        <v>中药学</v>
      </c>
      <c r="F897" s="9" t="str">
        <f>"2018013925"</f>
        <v>2018013925</v>
      </c>
      <c r="G897" s="9">
        <v>39</v>
      </c>
      <c r="H897" s="9">
        <v>65</v>
      </c>
      <c r="I897" s="9">
        <f t="shared" si="63"/>
        <v>57.2</v>
      </c>
      <c r="J897" s="9"/>
      <c r="K897" s="3">
        <v>39</v>
      </c>
      <c r="L897" s="3">
        <v>25</v>
      </c>
    </row>
    <row r="898" spans="1:12" ht="18.75" customHeight="1">
      <c r="A898" s="3" t="str">
        <f>"10522018030109543482814"</f>
        <v>10522018030109543482814</v>
      </c>
      <c r="B898" s="8" t="s">
        <v>30</v>
      </c>
      <c r="C898" s="9" t="str">
        <f>"女"</f>
        <v>女</v>
      </c>
      <c r="D898" s="9" t="str">
        <f>"341223199405202440"</f>
        <v>341223199405202440</v>
      </c>
      <c r="E898" s="14" t="str">
        <f t="shared" si="69"/>
        <v>中药学</v>
      </c>
      <c r="F898" s="9" t="str">
        <f>"2018013918"</f>
        <v>2018013918</v>
      </c>
      <c r="G898" s="9">
        <v>0</v>
      </c>
      <c r="H898" s="9">
        <v>0</v>
      </c>
      <c r="I898" s="9">
        <f t="shared" si="63"/>
        <v>0</v>
      </c>
      <c r="J898" s="10" t="s">
        <v>4</v>
      </c>
      <c r="K898" s="3">
        <v>39</v>
      </c>
      <c r="L898" s="3">
        <v>18</v>
      </c>
    </row>
    <row r="899" spans="1:12" ht="18.75" customHeight="1">
      <c r="A899" s="3" t="str">
        <f>"10522018022609044981569"</f>
        <v>10522018022609044981569</v>
      </c>
      <c r="B899" s="8" t="s">
        <v>30</v>
      </c>
      <c r="C899" s="9" t="str">
        <f>"女"</f>
        <v>女</v>
      </c>
      <c r="D899" s="9" t="str">
        <f>"341222199410058483"</f>
        <v>341222199410058483</v>
      </c>
      <c r="E899" s="14" t="str">
        <f t="shared" si="69"/>
        <v>中药学</v>
      </c>
      <c r="F899" s="9" t="str">
        <f>"2018013919"</f>
        <v>2018013919</v>
      </c>
      <c r="G899" s="9">
        <v>0</v>
      </c>
      <c r="H899" s="9">
        <v>0</v>
      </c>
      <c r="I899" s="9">
        <f t="shared" ref="I899:I962" si="70">G899*0.3+H899*0.7</f>
        <v>0</v>
      </c>
      <c r="J899" s="10" t="s">
        <v>4</v>
      </c>
      <c r="K899" s="3">
        <v>39</v>
      </c>
      <c r="L899" s="3">
        <v>19</v>
      </c>
    </row>
    <row r="900" spans="1:12" ht="18.75" customHeight="1">
      <c r="A900" s="3" t="str">
        <f>"10522018022618502782021"</f>
        <v>10522018022618502782021</v>
      </c>
      <c r="B900" s="8" t="s">
        <v>30</v>
      </c>
      <c r="C900" s="9" t="str">
        <f>"女"</f>
        <v>女</v>
      </c>
      <c r="D900" s="9" t="str">
        <f>"341281199204110869"</f>
        <v>341281199204110869</v>
      </c>
      <c r="E900" s="14" t="str">
        <f t="shared" si="69"/>
        <v>中药学</v>
      </c>
      <c r="F900" s="9" t="str">
        <f>"2018013920"</f>
        <v>2018013920</v>
      </c>
      <c r="G900" s="9">
        <v>0</v>
      </c>
      <c r="H900" s="9">
        <v>0</v>
      </c>
      <c r="I900" s="9">
        <f t="shared" si="70"/>
        <v>0</v>
      </c>
      <c r="J900" s="10" t="s">
        <v>4</v>
      </c>
      <c r="K900" s="3">
        <v>39</v>
      </c>
      <c r="L900" s="3">
        <v>20</v>
      </c>
    </row>
    <row r="901" spans="1:12" ht="18.75" customHeight="1">
      <c r="A901" s="3" t="str">
        <f>"10522018022610021881644"</f>
        <v>10522018022610021881644</v>
      </c>
      <c r="B901" s="8" t="s">
        <v>30</v>
      </c>
      <c r="C901" s="9" t="str">
        <f>"男"</f>
        <v>男</v>
      </c>
      <c r="D901" s="9" t="str">
        <f>"341222199209220514"</f>
        <v>341222199209220514</v>
      </c>
      <c r="E901" s="14" t="str">
        <f t="shared" si="69"/>
        <v>中药学</v>
      </c>
      <c r="F901" s="9" t="str">
        <f>"2018013922"</f>
        <v>2018013922</v>
      </c>
      <c r="G901" s="9">
        <v>0</v>
      </c>
      <c r="H901" s="9">
        <v>0</v>
      </c>
      <c r="I901" s="9">
        <f t="shared" si="70"/>
        <v>0</v>
      </c>
      <c r="J901" s="10" t="s">
        <v>4</v>
      </c>
      <c r="K901" s="3">
        <v>39</v>
      </c>
      <c r="L901" s="3">
        <v>22</v>
      </c>
    </row>
    <row r="902" spans="1:12" ht="18.75" customHeight="1">
      <c r="A902" s="3" t="str">
        <f>"10522018022613520881860"</f>
        <v>10522018022613520881860</v>
      </c>
      <c r="B902" s="8" t="s">
        <v>31</v>
      </c>
      <c r="C902" s="9" t="str">
        <f t="shared" ref="C902:C965" si="71">"女"</f>
        <v>女</v>
      </c>
      <c r="D902" s="9" t="str">
        <f>"341621199608233940"</f>
        <v>341621199608233940</v>
      </c>
      <c r="E902" s="14" t="str">
        <f t="shared" ref="E902:E965" si="72">"护理"</f>
        <v>护理</v>
      </c>
      <c r="F902" s="9" t="str">
        <f>"2018012618"</f>
        <v>2018012618</v>
      </c>
      <c r="G902" s="9">
        <v>53</v>
      </c>
      <c r="H902" s="9">
        <v>104</v>
      </c>
      <c r="I902" s="9">
        <f t="shared" si="70"/>
        <v>88.699999999999989</v>
      </c>
      <c r="J902" s="9"/>
      <c r="K902" s="3">
        <v>26</v>
      </c>
      <c r="L902" s="3">
        <v>18</v>
      </c>
    </row>
    <row r="903" spans="1:12" ht="18.75" customHeight="1">
      <c r="A903" s="3" t="str">
        <f>"10522018022612270181792"</f>
        <v>10522018022612270181792</v>
      </c>
      <c r="B903" s="8" t="s">
        <v>31</v>
      </c>
      <c r="C903" s="9" t="str">
        <f t="shared" si="71"/>
        <v>女</v>
      </c>
      <c r="D903" s="9" t="str">
        <f>"341621199406012525"</f>
        <v>341621199406012525</v>
      </c>
      <c r="E903" s="14" t="str">
        <f t="shared" si="72"/>
        <v>护理</v>
      </c>
      <c r="F903" s="9" t="str">
        <f>"2018012925"</f>
        <v>2018012925</v>
      </c>
      <c r="G903" s="9">
        <v>57.5</v>
      </c>
      <c r="H903" s="9">
        <v>102</v>
      </c>
      <c r="I903" s="9">
        <f t="shared" si="70"/>
        <v>88.649999999999991</v>
      </c>
      <c r="J903" s="9"/>
      <c r="K903" s="3">
        <v>29</v>
      </c>
      <c r="L903" s="3">
        <v>25</v>
      </c>
    </row>
    <row r="904" spans="1:12" ht="18.75" customHeight="1">
      <c r="A904" s="3" t="str">
        <f>"10522018022819392382715"</f>
        <v>10522018022819392382715</v>
      </c>
      <c r="B904" s="8" t="s">
        <v>31</v>
      </c>
      <c r="C904" s="9" t="str">
        <f t="shared" si="71"/>
        <v>女</v>
      </c>
      <c r="D904" s="9" t="str">
        <f>"341623199504113728"</f>
        <v>341623199504113728</v>
      </c>
      <c r="E904" s="14" t="str">
        <f t="shared" si="72"/>
        <v>护理</v>
      </c>
      <c r="F904" s="9" t="str">
        <f>"2018012622"</f>
        <v>2018012622</v>
      </c>
      <c r="G904" s="9">
        <v>60</v>
      </c>
      <c r="H904" s="9">
        <v>100</v>
      </c>
      <c r="I904" s="9">
        <f t="shared" si="70"/>
        <v>88</v>
      </c>
      <c r="J904" s="9"/>
      <c r="K904" s="3">
        <v>26</v>
      </c>
      <c r="L904" s="3">
        <v>22</v>
      </c>
    </row>
    <row r="905" spans="1:12" ht="18.75" customHeight="1">
      <c r="A905" s="3" t="str">
        <f>"10522018022821232882744"</f>
        <v>10522018022821232882744</v>
      </c>
      <c r="B905" s="8" t="s">
        <v>31</v>
      </c>
      <c r="C905" s="9" t="str">
        <f t="shared" si="71"/>
        <v>女</v>
      </c>
      <c r="D905" s="9" t="str">
        <f>"341227199508240488"</f>
        <v>341227199508240488</v>
      </c>
      <c r="E905" s="14" t="str">
        <f t="shared" si="72"/>
        <v>护理</v>
      </c>
      <c r="F905" s="9" t="str">
        <f>"2018013014"</f>
        <v>2018013014</v>
      </c>
      <c r="G905" s="9">
        <v>53</v>
      </c>
      <c r="H905" s="9">
        <v>102</v>
      </c>
      <c r="I905" s="9">
        <f t="shared" si="70"/>
        <v>87.299999999999983</v>
      </c>
      <c r="J905" s="9"/>
      <c r="K905" s="3">
        <v>30</v>
      </c>
      <c r="L905" s="3">
        <v>14</v>
      </c>
    </row>
    <row r="906" spans="1:12" ht="18.75" customHeight="1">
      <c r="A906" s="3" t="str">
        <f>"10522018030121442983035"</f>
        <v>10522018030121442983035</v>
      </c>
      <c r="B906" s="8" t="s">
        <v>31</v>
      </c>
      <c r="C906" s="9" t="str">
        <f t="shared" si="71"/>
        <v>女</v>
      </c>
      <c r="D906" s="9" t="str">
        <f>"341622199507314529"</f>
        <v>341622199507314529</v>
      </c>
      <c r="E906" s="14" t="str">
        <f t="shared" si="72"/>
        <v>护理</v>
      </c>
      <c r="F906" s="9" t="str">
        <f>"2018012611"</f>
        <v>2018012611</v>
      </c>
      <c r="G906" s="9">
        <v>59.5</v>
      </c>
      <c r="H906" s="9">
        <v>99</v>
      </c>
      <c r="I906" s="9">
        <f t="shared" si="70"/>
        <v>87.149999999999991</v>
      </c>
      <c r="J906" s="9"/>
      <c r="K906" s="3">
        <v>26</v>
      </c>
      <c r="L906" s="3">
        <v>11</v>
      </c>
    </row>
    <row r="907" spans="1:12" ht="18.75" customHeight="1">
      <c r="A907" s="3" t="str">
        <f>"10522018030109031782800"</f>
        <v>10522018030109031782800</v>
      </c>
      <c r="B907" s="8" t="s">
        <v>31</v>
      </c>
      <c r="C907" s="9" t="str">
        <f t="shared" si="71"/>
        <v>女</v>
      </c>
      <c r="D907" s="9" t="str">
        <f>"341621199807240326"</f>
        <v>341621199807240326</v>
      </c>
      <c r="E907" s="14" t="str">
        <f t="shared" si="72"/>
        <v>护理</v>
      </c>
      <c r="F907" s="9" t="str">
        <f>"2018012507"</f>
        <v>2018012507</v>
      </c>
      <c r="G907" s="9">
        <v>54.5</v>
      </c>
      <c r="H907" s="9">
        <v>101</v>
      </c>
      <c r="I907" s="9">
        <f t="shared" si="70"/>
        <v>87.049999999999983</v>
      </c>
      <c r="J907" s="9"/>
      <c r="K907" s="3">
        <v>25</v>
      </c>
      <c r="L907" s="3">
        <v>7</v>
      </c>
    </row>
    <row r="908" spans="1:12" ht="18.75" customHeight="1">
      <c r="A908" s="3" t="str">
        <f>"10522018022613144081832"</f>
        <v>10522018022613144081832</v>
      </c>
      <c r="B908" s="8" t="s">
        <v>31</v>
      </c>
      <c r="C908" s="9" t="str">
        <f t="shared" si="71"/>
        <v>女</v>
      </c>
      <c r="D908" s="9" t="str">
        <f>"341223199412124129"</f>
        <v>341223199412124129</v>
      </c>
      <c r="E908" s="14" t="str">
        <f t="shared" si="72"/>
        <v>护理</v>
      </c>
      <c r="F908" s="9" t="str">
        <f>"2018012416"</f>
        <v>2018012416</v>
      </c>
      <c r="G908" s="9">
        <v>50</v>
      </c>
      <c r="H908" s="9">
        <v>102</v>
      </c>
      <c r="I908" s="9">
        <f t="shared" si="70"/>
        <v>86.399999999999991</v>
      </c>
      <c r="J908" s="9"/>
      <c r="K908" s="3">
        <v>24</v>
      </c>
      <c r="L908" s="3">
        <v>16</v>
      </c>
    </row>
    <row r="909" spans="1:12" ht="18.75" customHeight="1">
      <c r="A909" s="3" t="str">
        <f>"10522018022609131481590"</f>
        <v>10522018022609131481590</v>
      </c>
      <c r="B909" s="8" t="s">
        <v>31</v>
      </c>
      <c r="C909" s="9" t="str">
        <f t="shared" si="71"/>
        <v>女</v>
      </c>
      <c r="D909" s="9" t="str">
        <f>"341622199607094340"</f>
        <v>341622199607094340</v>
      </c>
      <c r="E909" s="14" t="str">
        <f t="shared" si="72"/>
        <v>护理</v>
      </c>
      <c r="F909" s="9" t="str">
        <f>"2018012429"</f>
        <v>2018012429</v>
      </c>
      <c r="G909" s="9">
        <v>44.5</v>
      </c>
      <c r="H909" s="9">
        <v>104</v>
      </c>
      <c r="I909" s="9">
        <f t="shared" si="70"/>
        <v>86.149999999999991</v>
      </c>
      <c r="J909" s="9"/>
      <c r="K909" s="3">
        <v>24</v>
      </c>
      <c r="L909" s="3">
        <v>29</v>
      </c>
    </row>
    <row r="910" spans="1:12" ht="18.75" customHeight="1">
      <c r="A910" s="3" t="str">
        <f>"10522018030119411983006"</f>
        <v>10522018030119411983006</v>
      </c>
      <c r="B910" s="8" t="s">
        <v>31</v>
      </c>
      <c r="C910" s="9" t="str">
        <f t="shared" si="71"/>
        <v>女</v>
      </c>
      <c r="D910" s="9" t="str">
        <f>"341227199607018743"</f>
        <v>341227199607018743</v>
      </c>
      <c r="E910" s="14" t="str">
        <f t="shared" si="72"/>
        <v>护理</v>
      </c>
      <c r="F910" s="9" t="str">
        <f>"2018012807"</f>
        <v>2018012807</v>
      </c>
      <c r="G910" s="9">
        <v>60.5</v>
      </c>
      <c r="H910" s="9">
        <v>97</v>
      </c>
      <c r="I910" s="9">
        <f t="shared" si="70"/>
        <v>86.049999999999983</v>
      </c>
      <c r="J910" s="9"/>
      <c r="K910" s="3">
        <v>28</v>
      </c>
      <c r="L910" s="3">
        <v>7</v>
      </c>
    </row>
    <row r="911" spans="1:12" ht="18.75" customHeight="1">
      <c r="A911" s="3" t="str">
        <f>"10522018030208032983067"</f>
        <v>10522018030208032983067</v>
      </c>
      <c r="B911" s="8" t="s">
        <v>31</v>
      </c>
      <c r="C911" s="9" t="str">
        <f t="shared" si="71"/>
        <v>女</v>
      </c>
      <c r="D911" s="9" t="str">
        <f>"341223199508120325"</f>
        <v>341223199508120325</v>
      </c>
      <c r="E911" s="14" t="str">
        <f t="shared" si="72"/>
        <v>护理</v>
      </c>
      <c r="F911" s="9" t="str">
        <f>"2018012530"</f>
        <v>2018012530</v>
      </c>
      <c r="G911" s="9">
        <v>43.5</v>
      </c>
      <c r="H911" s="9">
        <v>104</v>
      </c>
      <c r="I911" s="9">
        <f t="shared" si="70"/>
        <v>85.85</v>
      </c>
      <c r="J911" s="9"/>
      <c r="K911" s="3">
        <v>25</v>
      </c>
      <c r="L911" s="3">
        <v>30</v>
      </c>
    </row>
    <row r="912" spans="1:12" ht="18.75" customHeight="1">
      <c r="A912" s="3" t="str">
        <f>"10522018022705282582120"</f>
        <v>10522018022705282582120</v>
      </c>
      <c r="B912" s="8" t="s">
        <v>31</v>
      </c>
      <c r="C912" s="9" t="str">
        <f t="shared" si="71"/>
        <v>女</v>
      </c>
      <c r="D912" s="9" t="str">
        <f>"341223199508121125"</f>
        <v>341223199508121125</v>
      </c>
      <c r="E912" s="14" t="str">
        <f t="shared" si="72"/>
        <v>护理</v>
      </c>
      <c r="F912" s="9" t="str">
        <f>"2018012729"</f>
        <v>2018012729</v>
      </c>
      <c r="G912" s="9">
        <v>52</v>
      </c>
      <c r="H912" s="9">
        <v>100</v>
      </c>
      <c r="I912" s="9">
        <f t="shared" si="70"/>
        <v>85.6</v>
      </c>
      <c r="J912" s="9"/>
      <c r="K912" s="3">
        <v>27</v>
      </c>
      <c r="L912" s="3">
        <v>29</v>
      </c>
    </row>
    <row r="913" spans="1:12" ht="18.75" customHeight="1">
      <c r="A913" s="3" t="str">
        <f>"10522018022822440382767"</f>
        <v>10522018022822440382767</v>
      </c>
      <c r="B913" s="8" t="s">
        <v>31</v>
      </c>
      <c r="C913" s="9" t="str">
        <f t="shared" si="71"/>
        <v>女</v>
      </c>
      <c r="D913" s="9" t="str">
        <f>"340603199506081022"</f>
        <v>340603199506081022</v>
      </c>
      <c r="E913" s="14" t="str">
        <f t="shared" si="72"/>
        <v>护理</v>
      </c>
      <c r="F913" s="9" t="str">
        <f>"2018012909"</f>
        <v>2018012909</v>
      </c>
      <c r="G913" s="9">
        <v>45</v>
      </c>
      <c r="H913" s="9">
        <v>103</v>
      </c>
      <c r="I913" s="9">
        <f t="shared" si="70"/>
        <v>85.6</v>
      </c>
      <c r="J913" s="9"/>
      <c r="K913" s="3">
        <v>29</v>
      </c>
      <c r="L913" s="3">
        <v>9</v>
      </c>
    </row>
    <row r="914" spans="1:12" ht="18.75" customHeight="1">
      <c r="A914" s="3" t="str">
        <f>"10522018022712195982219"</f>
        <v>10522018022712195982219</v>
      </c>
      <c r="B914" s="8" t="s">
        <v>31</v>
      </c>
      <c r="C914" s="9" t="str">
        <f t="shared" si="71"/>
        <v>女</v>
      </c>
      <c r="D914" s="9" t="str">
        <f>"341623199606200048"</f>
        <v>341623199606200048</v>
      </c>
      <c r="E914" s="14" t="str">
        <f t="shared" si="72"/>
        <v>护理</v>
      </c>
      <c r="F914" s="9" t="str">
        <f>"2018012517"</f>
        <v>2018012517</v>
      </c>
      <c r="G914" s="9">
        <v>40</v>
      </c>
      <c r="H914" s="9">
        <v>105</v>
      </c>
      <c r="I914" s="9">
        <f t="shared" si="70"/>
        <v>85.5</v>
      </c>
      <c r="J914" s="9"/>
      <c r="K914" s="3">
        <v>25</v>
      </c>
      <c r="L914" s="3">
        <v>17</v>
      </c>
    </row>
    <row r="915" spans="1:12" ht="18.75" customHeight="1">
      <c r="A915" s="3" t="str">
        <f>"10522018022819155782705"</f>
        <v>10522018022819155782705</v>
      </c>
      <c r="B915" s="8" t="s">
        <v>31</v>
      </c>
      <c r="C915" s="9" t="str">
        <f t="shared" si="71"/>
        <v>女</v>
      </c>
      <c r="D915" s="9" t="str">
        <f>"341281199508143483"</f>
        <v>341281199508143483</v>
      </c>
      <c r="E915" s="14" t="str">
        <f t="shared" si="72"/>
        <v>护理</v>
      </c>
      <c r="F915" s="9" t="str">
        <f>"2018012521"</f>
        <v>2018012521</v>
      </c>
      <c r="G915" s="9">
        <v>44</v>
      </c>
      <c r="H915" s="9">
        <v>103</v>
      </c>
      <c r="I915" s="9">
        <f t="shared" si="70"/>
        <v>85.3</v>
      </c>
      <c r="J915" s="9"/>
      <c r="K915" s="3">
        <v>25</v>
      </c>
      <c r="L915" s="3">
        <v>21</v>
      </c>
    </row>
    <row r="916" spans="1:12" ht="18.75" customHeight="1">
      <c r="A916" s="3" t="str">
        <f>"10522018022815035182627"</f>
        <v>10522018022815035182627</v>
      </c>
      <c r="B916" s="8" t="s">
        <v>31</v>
      </c>
      <c r="C916" s="9" t="str">
        <f t="shared" si="71"/>
        <v>女</v>
      </c>
      <c r="D916" s="9" t="str">
        <f>"341222199501248725"</f>
        <v>341222199501248725</v>
      </c>
      <c r="E916" s="14" t="str">
        <f t="shared" si="72"/>
        <v>护理</v>
      </c>
      <c r="F916" s="9" t="str">
        <f>"2018012519"</f>
        <v>2018012519</v>
      </c>
      <c r="G916" s="9">
        <v>44.5</v>
      </c>
      <c r="H916" s="9">
        <v>102</v>
      </c>
      <c r="I916" s="9">
        <f t="shared" si="70"/>
        <v>84.749999999999986</v>
      </c>
      <c r="J916" s="9"/>
      <c r="K916" s="3">
        <v>25</v>
      </c>
      <c r="L916" s="3">
        <v>19</v>
      </c>
    </row>
    <row r="917" spans="1:12" ht="18.75" customHeight="1">
      <c r="A917" s="3" t="str">
        <f>"10522018030209231783084"</f>
        <v>10522018030209231783084</v>
      </c>
      <c r="B917" s="8" t="s">
        <v>31</v>
      </c>
      <c r="C917" s="9" t="str">
        <f t="shared" si="71"/>
        <v>女</v>
      </c>
      <c r="D917" s="9" t="str">
        <f>"34122719951213002X"</f>
        <v>34122719951213002X</v>
      </c>
      <c r="E917" s="14" t="str">
        <f t="shared" si="72"/>
        <v>护理</v>
      </c>
      <c r="F917" s="9" t="str">
        <f>"2018012920"</f>
        <v>2018012920</v>
      </c>
      <c r="G917" s="9">
        <v>63</v>
      </c>
      <c r="H917" s="9">
        <v>94</v>
      </c>
      <c r="I917" s="9">
        <f t="shared" si="70"/>
        <v>84.699999999999989</v>
      </c>
      <c r="J917" s="9"/>
      <c r="K917" s="3">
        <v>29</v>
      </c>
      <c r="L917" s="3">
        <v>20</v>
      </c>
    </row>
    <row r="918" spans="1:12" ht="18.75" customHeight="1">
      <c r="A918" s="3" t="str">
        <f>"10522018022612592081825"</f>
        <v>10522018022612592081825</v>
      </c>
      <c r="B918" s="8" t="s">
        <v>31</v>
      </c>
      <c r="C918" s="9" t="str">
        <f t="shared" si="71"/>
        <v>女</v>
      </c>
      <c r="D918" s="9" t="str">
        <f>"341621199306202946"</f>
        <v>341621199306202946</v>
      </c>
      <c r="E918" s="14" t="str">
        <f t="shared" si="72"/>
        <v>护理</v>
      </c>
      <c r="F918" s="9" t="str">
        <f>"2018012513"</f>
        <v>2018012513</v>
      </c>
      <c r="G918" s="9">
        <v>45.5</v>
      </c>
      <c r="H918" s="9">
        <v>101</v>
      </c>
      <c r="I918" s="9">
        <f t="shared" si="70"/>
        <v>84.35</v>
      </c>
      <c r="J918" s="9"/>
      <c r="K918" s="3">
        <v>25</v>
      </c>
      <c r="L918" s="3">
        <v>13</v>
      </c>
    </row>
    <row r="919" spans="1:12" ht="18.75" customHeight="1">
      <c r="A919" s="3" t="str">
        <f>"10522018022818280782682"</f>
        <v>10522018022818280782682</v>
      </c>
      <c r="B919" s="8" t="s">
        <v>31</v>
      </c>
      <c r="C919" s="9" t="str">
        <f t="shared" si="71"/>
        <v>女</v>
      </c>
      <c r="D919" s="9" t="str">
        <f>"341223199408102189"</f>
        <v>341223199408102189</v>
      </c>
      <c r="E919" s="14" t="str">
        <f t="shared" si="72"/>
        <v>护理</v>
      </c>
      <c r="F919" s="9" t="str">
        <f>"2018012607"</f>
        <v>2018012607</v>
      </c>
      <c r="G919" s="9">
        <v>41</v>
      </c>
      <c r="H919" s="9">
        <v>102</v>
      </c>
      <c r="I919" s="9">
        <f t="shared" si="70"/>
        <v>83.699999999999989</v>
      </c>
      <c r="J919" s="9"/>
      <c r="K919" s="3">
        <v>26</v>
      </c>
      <c r="L919" s="3">
        <v>7</v>
      </c>
    </row>
    <row r="920" spans="1:12" ht="18.75" customHeight="1">
      <c r="A920" s="3" t="str">
        <f>"10522018022609470081629"</f>
        <v>10522018022609470081629</v>
      </c>
      <c r="B920" s="8" t="s">
        <v>31</v>
      </c>
      <c r="C920" s="9" t="str">
        <f t="shared" si="71"/>
        <v>女</v>
      </c>
      <c r="D920" s="9" t="str">
        <f>"341223199508012367"</f>
        <v>341223199508012367</v>
      </c>
      <c r="E920" s="14" t="str">
        <f t="shared" si="72"/>
        <v>护理</v>
      </c>
      <c r="F920" s="9" t="str">
        <f>"2018012804"</f>
        <v>2018012804</v>
      </c>
      <c r="G920" s="9">
        <v>44.5</v>
      </c>
      <c r="H920" s="9">
        <v>100</v>
      </c>
      <c r="I920" s="9">
        <f t="shared" si="70"/>
        <v>83.35</v>
      </c>
      <c r="J920" s="9"/>
      <c r="K920" s="3">
        <v>28</v>
      </c>
      <c r="L920" s="3">
        <v>4</v>
      </c>
    </row>
    <row r="921" spans="1:12" ht="18.75" customHeight="1">
      <c r="A921" s="3" t="str">
        <f>"10522018022711090882191"</f>
        <v>10522018022711090882191</v>
      </c>
      <c r="B921" s="8" t="s">
        <v>31</v>
      </c>
      <c r="C921" s="9" t="str">
        <f t="shared" si="71"/>
        <v>女</v>
      </c>
      <c r="D921" s="9" t="str">
        <f>"340621199705263649"</f>
        <v>340621199705263649</v>
      </c>
      <c r="E921" s="14" t="str">
        <f t="shared" si="72"/>
        <v>护理</v>
      </c>
      <c r="F921" s="9" t="str">
        <f>"2018012412"</f>
        <v>2018012412</v>
      </c>
      <c r="G921" s="9">
        <v>34.5</v>
      </c>
      <c r="H921" s="9">
        <v>104</v>
      </c>
      <c r="I921" s="9">
        <f t="shared" si="70"/>
        <v>83.149999999999991</v>
      </c>
      <c r="J921" s="9"/>
      <c r="K921" s="3">
        <v>24</v>
      </c>
      <c r="L921" s="3">
        <v>12</v>
      </c>
    </row>
    <row r="922" spans="1:12" ht="18.75" customHeight="1">
      <c r="A922" s="3" t="str">
        <f>"10522018022622061982104"</f>
        <v>10522018022622061982104</v>
      </c>
      <c r="B922" s="8" t="s">
        <v>31</v>
      </c>
      <c r="C922" s="9" t="str">
        <f t="shared" si="71"/>
        <v>女</v>
      </c>
      <c r="D922" s="9" t="str">
        <f>"341281199410047768"</f>
        <v>341281199410047768</v>
      </c>
      <c r="E922" s="14" t="str">
        <f t="shared" si="72"/>
        <v>护理</v>
      </c>
      <c r="F922" s="9" t="str">
        <f>"2018013120"</f>
        <v>2018013120</v>
      </c>
      <c r="G922" s="9">
        <v>39</v>
      </c>
      <c r="H922" s="9">
        <v>102</v>
      </c>
      <c r="I922" s="9">
        <f t="shared" si="70"/>
        <v>83.1</v>
      </c>
      <c r="J922" s="9"/>
      <c r="K922" s="3">
        <v>31</v>
      </c>
      <c r="L922" s="3">
        <v>20</v>
      </c>
    </row>
    <row r="923" spans="1:12" ht="18.75" customHeight="1">
      <c r="A923" s="3" t="str">
        <f>"10522018030115445382935"</f>
        <v>10522018030115445382935</v>
      </c>
      <c r="B923" s="8" t="s">
        <v>31</v>
      </c>
      <c r="C923" s="9" t="str">
        <f t="shared" si="71"/>
        <v>女</v>
      </c>
      <c r="D923" s="9" t="str">
        <f>"341223199402103324"</f>
        <v>341223199402103324</v>
      </c>
      <c r="E923" s="14" t="str">
        <f t="shared" si="72"/>
        <v>护理</v>
      </c>
      <c r="F923" s="9" t="str">
        <f>"2018013118"</f>
        <v>2018013118</v>
      </c>
      <c r="G923" s="9">
        <v>55</v>
      </c>
      <c r="H923" s="9">
        <v>95</v>
      </c>
      <c r="I923" s="9">
        <f t="shared" si="70"/>
        <v>83</v>
      </c>
      <c r="J923" s="9"/>
      <c r="K923" s="3">
        <v>31</v>
      </c>
      <c r="L923" s="3">
        <v>18</v>
      </c>
    </row>
    <row r="924" spans="1:12" ht="18.75" customHeight="1">
      <c r="A924" s="3" t="str">
        <f>"10522018022821110782741"</f>
        <v>10522018022821110782741</v>
      </c>
      <c r="B924" s="8" t="s">
        <v>31</v>
      </c>
      <c r="C924" s="9" t="str">
        <f t="shared" si="71"/>
        <v>女</v>
      </c>
      <c r="D924" s="9" t="str">
        <f>"341621199510015128"</f>
        <v>341621199510015128</v>
      </c>
      <c r="E924" s="14" t="str">
        <f t="shared" si="72"/>
        <v>护理</v>
      </c>
      <c r="F924" s="9" t="str">
        <f>"2018012605"</f>
        <v>2018012605</v>
      </c>
      <c r="G924" s="9">
        <v>52.5</v>
      </c>
      <c r="H924" s="9">
        <v>96</v>
      </c>
      <c r="I924" s="9">
        <f t="shared" si="70"/>
        <v>82.949999999999989</v>
      </c>
      <c r="J924" s="9"/>
      <c r="K924" s="3">
        <v>26</v>
      </c>
      <c r="L924" s="3">
        <v>5</v>
      </c>
    </row>
    <row r="925" spans="1:12" ht="18.75" customHeight="1">
      <c r="A925" s="3" t="str">
        <f>"10522018022819290382711"</f>
        <v>10522018022819290382711</v>
      </c>
      <c r="B925" s="8" t="s">
        <v>31</v>
      </c>
      <c r="C925" s="9" t="str">
        <f t="shared" si="71"/>
        <v>女</v>
      </c>
      <c r="D925" s="9" t="str">
        <f>"341623199503104029"</f>
        <v>341623199503104029</v>
      </c>
      <c r="E925" s="14" t="str">
        <f t="shared" si="72"/>
        <v>护理</v>
      </c>
      <c r="F925" s="9" t="str">
        <f>"2018013101"</f>
        <v>2018013101</v>
      </c>
      <c r="G925" s="9">
        <v>52.5</v>
      </c>
      <c r="H925" s="9">
        <v>96</v>
      </c>
      <c r="I925" s="9">
        <f t="shared" si="70"/>
        <v>82.949999999999989</v>
      </c>
      <c r="J925" s="9"/>
      <c r="K925" s="3">
        <v>31</v>
      </c>
      <c r="L925" s="3">
        <v>1</v>
      </c>
    </row>
    <row r="926" spans="1:12" ht="18.75" customHeight="1">
      <c r="A926" s="3" t="str">
        <f>"10522018022710081482163"</f>
        <v>10522018022710081482163</v>
      </c>
      <c r="B926" s="8" t="s">
        <v>31</v>
      </c>
      <c r="C926" s="9" t="str">
        <f t="shared" si="71"/>
        <v>女</v>
      </c>
      <c r="D926" s="9" t="str">
        <f>"341621199409260081"</f>
        <v>341621199409260081</v>
      </c>
      <c r="E926" s="14" t="str">
        <f t="shared" si="72"/>
        <v>护理</v>
      </c>
      <c r="F926" s="9" t="str">
        <f>"2018012923"</f>
        <v>2018012923</v>
      </c>
      <c r="G926" s="9">
        <v>51.5</v>
      </c>
      <c r="H926" s="9">
        <v>96</v>
      </c>
      <c r="I926" s="9">
        <f t="shared" si="70"/>
        <v>82.649999999999991</v>
      </c>
      <c r="J926" s="9"/>
      <c r="K926" s="3">
        <v>29</v>
      </c>
      <c r="L926" s="3">
        <v>23</v>
      </c>
    </row>
    <row r="927" spans="1:12" ht="18.75" customHeight="1">
      <c r="A927" s="3" t="str">
        <f>"10522018022719240482363"</f>
        <v>10522018022719240482363</v>
      </c>
      <c r="B927" s="8" t="s">
        <v>31</v>
      </c>
      <c r="C927" s="9" t="str">
        <f t="shared" si="71"/>
        <v>女</v>
      </c>
      <c r="D927" s="9" t="str">
        <f>"341281199408248704"</f>
        <v>341281199408248704</v>
      </c>
      <c r="E927" s="14" t="str">
        <f t="shared" si="72"/>
        <v>护理</v>
      </c>
      <c r="F927" s="9" t="str">
        <f>"2018012510"</f>
        <v>2018012510</v>
      </c>
      <c r="G927" s="9">
        <v>55.5</v>
      </c>
      <c r="H927" s="9">
        <v>94</v>
      </c>
      <c r="I927" s="9">
        <f t="shared" si="70"/>
        <v>82.449999999999989</v>
      </c>
      <c r="J927" s="9"/>
      <c r="K927" s="3">
        <v>25</v>
      </c>
      <c r="L927" s="3">
        <v>10</v>
      </c>
    </row>
    <row r="928" spans="1:12" ht="18.75" customHeight="1">
      <c r="A928" s="3" t="str">
        <f>"10522018022808194182463"</f>
        <v>10522018022808194182463</v>
      </c>
      <c r="B928" s="8" t="s">
        <v>31</v>
      </c>
      <c r="C928" s="9" t="str">
        <f t="shared" si="71"/>
        <v>女</v>
      </c>
      <c r="D928" s="9" t="str">
        <f>"34128119960816074X"</f>
        <v>34128119960816074X</v>
      </c>
      <c r="E928" s="14" t="str">
        <f t="shared" si="72"/>
        <v>护理</v>
      </c>
      <c r="F928" s="9" t="str">
        <f>"2018013018"</f>
        <v>2018013018</v>
      </c>
      <c r="G928" s="9">
        <v>29.5</v>
      </c>
      <c r="H928" s="9">
        <v>105</v>
      </c>
      <c r="I928" s="9">
        <f t="shared" si="70"/>
        <v>82.35</v>
      </c>
      <c r="J928" s="9"/>
      <c r="K928" s="3">
        <v>30</v>
      </c>
      <c r="L928" s="3">
        <v>18</v>
      </c>
    </row>
    <row r="929" spans="1:12" ht="18.75" customHeight="1">
      <c r="A929" s="3" t="str">
        <f>"10522018030212280183129"</f>
        <v>10522018030212280183129</v>
      </c>
      <c r="B929" s="8" t="s">
        <v>31</v>
      </c>
      <c r="C929" s="9" t="str">
        <f t="shared" si="71"/>
        <v>女</v>
      </c>
      <c r="D929" s="9" t="str">
        <f>"341223199302100724"</f>
        <v>341223199302100724</v>
      </c>
      <c r="E929" s="14" t="str">
        <f t="shared" si="72"/>
        <v>护理</v>
      </c>
      <c r="F929" s="9" t="str">
        <f>"2018013026"</f>
        <v>2018013026</v>
      </c>
      <c r="G929" s="9">
        <v>48</v>
      </c>
      <c r="H929" s="9">
        <v>97</v>
      </c>
      <c r="I929" s="9">
        <f t="shared" si="70"/>
        <v>82.299999999999983</v>
      </c>
      <c r="J929" s="9"/>
      <c r="K929" s="3">
        <v>30</v>
      </c>
      <c r="L929" s="3">
        <v>26</v>
      </c>
    </row>
    <row r="930" spans="1:12" ht="18.75" customHeight="1">
      <c r="A930" s="3" t="str">
        <f>"10522018030110530882831"</f>
        <v>10522018030110530882831</v>
      </c>
      <c r="B930" s="8" t="s">
        <v>31</v>
      </c>
      <c r="C930" s="9" t="str">
        <f t="shared" si="71"/>
        <v>女</v>
      </c>
      <c r="D930" s="9" t="str">
        <f>"341224199410170427"</f>
        <v>341224199410170427</v>
      </c>
      <c r="E930" s="14" t="str">
        <f t="shared" si="72"/>
        <v>护理</v>
      </c>
      <c r="F930" s="9" t="str">
        <f>"2018013218"</f>
        <v>2018013218</v>
      </c>
      <c r="G930" s="9">
        <v>47.5</v>
      </c>
      <c r="H930" s="9">
        <v>97</v>
      </c>
      <c r="I930" s="9">
        <f t="shared" si="70"/>
        <v>82.149999999999991</v>
      </c>
      <c r="J930" s="9"/>
      <c r="K930" s="3">
        <v>32</v>
      </c>
      <c r="L930" s="3">
        <v>18</v>
      </c>
    </row>
    <row r="931" spans="1:12" ht="18.75" customHeight="1">
      <c r="A931" s="3" t="str">
        <f>"10522018022615235881916"</f>
        <v>10522018022615235881916</v>
      </c>
      <c r="B931" s="8" t="s">
        <v>31</v>
      </c>
      <c r="C931" s="9" t="str">
        <f t="shared" si="71"/>
        <v>女</v>
      </c>
      <c r="D931" s="9" t="str">
        <f>"341223199503201986"</f>
        <v>341223199503201986</v>
      </c>
      <c r="E931" s="14" t="str">
        <f t="shared" si="72"/>
        <v>护理</v>
      </c>
      <c r="F931" s="9" t="str">
        <f>"2018013205"</f>
        <v>2018013205</v>
      </c>
      <c r="G931" s="9">
        <v>52</v>
      </c>
      <c r="H931" s="9">
        <v>95</v>
      </c>
      <c r="I931" s="9">
        <f t="shared" si="70"/>
        <v>82.1</v>
      </c>
      <c r="J931" s="9"/>
      <c r="K931" s="3">
        <v>32</v>
      </c>
      <c r="L931" s="3">
        <v>5</v>
      </c>
    </row>
    <row r="932" spans="1:12" ht="18.75" customHeight="1">
      <c r="A932" s="3" t="str">
        <f>"10522018022820174882726"</f>
        <v>10522018022820174882726</v>
      </c>
      <c r="B932" s="8" t="s">
        <v>31</v>
      </c>
      <c r="C932" s="9" t="str">
        <f t="shared" si="71"/>
        <v>女</v>
      </c>
      <c r="D932" s="9" t="str">
        <f>"341623199502141063"</f>
        <v>341623199502141063</v>
      </c>
      <c r="E932" s="14" t="str">
        <f t="shared" si="72"/>
        <v>护理</v>
      </c>
      <c r="F932" s="9" t="str">
        <f>"2018012528"</f>
        <v>2018012528</v>
      </c>
      <c r="G932" s="9">
        <v>42</v>
      </c>
      <c r="H932" s="9">
        <v>99</v>
      </c>
      <c r="I932" s="9">
        <f t="shared" si="70"/>
        <v>81.899999999999991</v>
      </c>
      <c r="J932" s="9"/>
      <c r="K932" s="3">
        <v>25</v>
      </c>
      <c r="L932" s="3">
        <v>28</v>
      </c>
    </row>
    <row r="933" spans="1:12" ht="18.75" customHeight="1">
      <c r="A933" s="3" t="str">
        <f>"10522018030113392582897"</f>
        <v>10522018030113392582897</v>
      </c>
      <c r="B933" s="8" t="s">
        <v>31</v>
      </c>
      <c r="C933" s="9" t="str">
        <f t="shared" si="71"/>
        <v>女</v>
      </c>
      <c r="D933" s="9" t="str">
        <f>"341623199603156723"</f>
        <v>341623199603156723</v>
      </c>
      <c r="E933" s="14" t="str">
        <f t="shared" si="72"/>
        <v>护理</v>
      </c>
      <c r="F933" s="9" t="str">
        <f>"2018012930"</f>
        <v>2018012930</v>
      </c>
      <c r="G933" s="9">
        <v>55</v>
      </c>
      <c r="H933" s="9">
        <v>93</v>
      </c>
      <c r="I933" s="9">
        <f t="shared" si="70"/>
        <v>81.599999999999994</v>
      </c>
      <c r="J933" s="9"/>
      <c r="K933" s="3">
        <v>29</v>
      </c>
      <c r="L933" s="3">
        <v>30</v>
      </c>
    </row>
    <row r="934" spans="1:12" ht="18.75" customHeight="1">
      <c r="A934" s="3" t="str">
        <f>"10522018030116405182960"</f>
        <v>10522018030116405182960</v>
      </c>
      <c r="B934" s="8" t="s">
        <v>31</v>
      </c>
      <c r="C934" s="9" t="str">
        <f t="shared" si="71"/>
        <v>女</v>
      </c>
      <c r="D934" s="9" t="str">
        <f>"341621199311085326"</f>
        <v>341621199311085326</v>
      </c>
      <c r="E934" s="14" t="str">
        <f t="shared" si="72"/>
        <v>护理</v>
      </c>
      <c r="F934" s="9" t="str">
        <f>"2018013123"</f>
        <v>2018013123</v>
      </c>
      <c r="G934" s="9">
        <v>41</v>
      </c>
      <c r="H934" s="9">
        <v>99</v>
      </c>
      <c r="I934" s="9">
        <f t="shared" si="70"/>
        <v>81.599999999999994</v>
      </c>
      <c r="J934" s="9"/>
      <c r="K934" s="3">
        <v>31</v>
      </c>
      <c r="L934" s="3">
        <v>23</v>
      </c>
    </row>
    <row r="935" spans="1:12" ht="18.75" customHeight="1">
      <c r="A935" s="3" t="str">
        <f>"10522018022818511882694"</f>
        <v>10522018022818511882694</v>
      </c>
      <c r="B935" s="8" t="s">
        <v>31</v>
      </c>
      <c r="C935" s="9" t="str">
        <f t="shared" si="71"/>
        <v>女</v>
      </c>
      <c r="D935" s="9" t="str">
        <f>"34122719941028612X"</f>
        <v>34122719941028612X</v>
      </c>
      <c r="E935" s="14" t="str">
        <f t="shared" si="72"/>
        <v>护理</v>
      </c>
      <c r="F935" s="9" t="str">
        <f>"2018012916"</f>
        <v>2018012916</v>
      </c>
      <c r="G935" s="9">
        <v>42.5</v>
      </c>
      <c r="H935" s="9">
        <v>98</v>
      </c>
      <c r="I935" s="9">
        <f t="shared" si="70"/>
        <v>81.349999999999994</v>
      </c>
      <c r="J935" s="9"/>
      <c r="K935" s="3">
        <v>29</v>
      </c>
      <c r="L935" s="3">
        <v>16</v>
      </c>
    </row>
    <row r="936" spans="1:12" ht="18.75" customHeight="1">
      <c r="A936" s="3" t="str">
        <f>"10522018022808471782470"</f>
        <v>10522018022808471782470</v>
      </c>
      <c r="B936" s="8" t="s">
        <v>31</v>
      </c>
      <c r="C936" s="9" t="str">
        <f t="shared" si="71"/>
        <v>女</v>
      </c>
      <c r="D936" s="9" t="str">
        <f>"34122319960910042X"</f>
        <v>34122319960910042X</v>
      </c>
      <c r="E936" s="14" t="str">
        <f t="shared" si="72"/>
        <v>护理</v>
      </c>
      <c r="F936" s="9" t="str">
        <f>"2018012903"</f>
        <v>2018012903</v>
      </c>
      <c r="G936" s="9">
        <v>47</v>
      </c>
      <c r="H936" s="9">
        <v>96</v>
      </c>
      <c r="I936" s="9">
        <f t="shared" si="70"/>
        <v>81.299999999999983</v>
      </c>
      <c r="J936" s="9"/>
      <c r="K936" s="3">
        <v>29</v>
      </c>
      <c r="L936" s="3">
        <v>3</v>
      </c>
    </row>
    <row r="937" spans="1:12" ht="18.75" customHeight="1">
      <c r="A937" s="3" t="str">
        <f>"10522018022710193682170"</f>
        <v>10522018022710193682170</v>
      </c>
      <c r="B937" s="8" t="s">
        <v>31</v>
      </c>
      <c r="C937" s="9" t="str">
        <f t="shared" si="71"/>
        <v>女</v>
      </c>
      <c r="D937" s="9" t="str">
        <f>"341227199711251027"</f>
        <v>341227199711251027</v>
      </c>
      <c r="E937" s="14" t="str">
        <f t="shared" si="72"/>
        <v>护理</v>
      </c>
      <c r="F937" s="9" t="str">
        <f>"2018012612"</f>
        <v>2018012612</v>
      </c>
      <c r="G937" s="9">
        <v>51</v>
      </c>
      <c r="H937" s="9">
        <v>94</v>
      </c>
      <c r="I937" s="9">
        <f t="shared" si="70"/>
        <v>81.099999999999994</v>
      </c>
      <c r="J937" s="9"/>
      <c r="K937" s="3">
        <v>26</v>
      </c>
      <c r="L937" s="3">
        <v>12</v>
      </c>
    </row>
    <row r="938" spans="1:12" ht="18.75" customHeight="1">
      <c r="A938" s="3" t="str">
        <f>"10522018022810244282508"</f>
        <v>10522018022810244282508</v>
      </c>
      <c r="B938" s="8" t="s">
        <v>31</v>
      </c>
      <c r="C938" s="9" t="str">
        <f t="shared" si="71"/>
        <v>女</v>
      </c>
      <c r="D938" s="9" t="str">
        <f>"34162119940619172X"</f>
        <v>34162119940619172X</v>
      </c>
      <c r="E938" s="14" t="str">
        <f t="shared" si="72"/>
        <v>护理</v>
      </c>
      <c r="F938" s="9" t="str">
        <f>"2018013125"</f>
        <v>2018013125</v>
      </c>
      <c r="G938" s="9">
        <v>55.5</v>
      </c>
      <c r="H938" s="9">
        <v>92</v>
      </c>
      <c r="I938" s="9">
        <f t="shared" si="70"/>
        <v>81.049999999999983</v>
      </c>
      <c r="J938" s="9"/>
      <c r="K938" s="3">
        <v>31</v>
      </c>
      <c r="L938" s="3">
        <v>25</v>
      </c>
    </row>
    <row r="939" spans="1:12" ht="18.75" customHeight="1">
      <c r="A939" s="3" t="str">
        <f>"10522018022610572781726"</f>
        <v>10522018022610572781726</v>
      </c>
      <c r="B939" s="8" t="s">
        <v>31</v>
      </c>
      <c r="C939" s="9" t="str">
        <f t="shared" si="71"/>
        <v>女</v>
      </c>
      <c r="D939" s="9" t="str">
        <f>"341223199703012346"</f>
        <v>341223199703012346</v>
      </c>
      <c r="E939" s="14" t="str">
        <f t="shared" si="72"/>
        <v>护理</v>
      </c>
      <c r="F939" s="9" t="str">
        <f>"2018012708"</f>
        <v>2018012708</v>
      </c>
      <c r="G939" s="9">
        <v>53</v>
      </c>
      <c r="H939" s="9">
        <v>93</v>
      </c>
      <c r="I939" s="9">
        <f t="shared" si="70"/>
        <v>81</v>
      </c>
      <c r="J939" s="9"/>
      <c r="K939" s="3">
        <v>27</v>
      </c>
      <c r="L939" s="3">
        <v>8</v>
      </c>
    </row>
    <row r="940" spans="1:12" ht="18.75" customHeight="1">
      <c r="A940" s="3" t="str">
        <f>"10522018022813052282579"</f>
        <v>10522018022813052282579</v>
      </c>
      <c r="B940" s="8" t="s">
        <v>31</v>
      </c>
      <c r="C940" s="9" t="str">
        <f t="shared" si="71"/>
        <v>女</v>
      </c>
      <c r="D940" s="9" t="str">
        <f>"34122319940803012X"</f>
        <v>34122319940803012X</v>
      </c>
      <c r="E940" s="14" t="str">
        <f t="shared" si="72"/>
        <v>护理</v>
      </c>
      <c r="F940" s="9" t="str">
        <f>"2018012809"</f>
        <v>2018012809</v>
      </c>
      <c r="G940" s="9">
        <v>60</v>
      </c>
      <c r="H940" s="9">
        <v>90</v>
      </c>
      <c r="I940" s="9">
        <f t="shared" si="70"/>
        <v>81</v>
      </c>
      <c r="J940" s="9"/>
      <c r="K940" s="3">
        <v>28</v>
      </c>
      <c r="L940" s="3">
        <v>9</v>
      </c>
    </row>
    <row r="941" spans="1:12" ht="18.75" customHeight="1">
      <c r="A941" s="3" t="str">
        <f>"10522018030113524482902"</f>
        <v>10522018030113524482902</v>
      </c>
      <c r="B941" s="8" t="s">
        <v>31</v>
      </c>
      <c r="C941" s="9" t="str">
        <f t="shared" si="71"/>
        <v>女</v>
      </c>
      <c r="D941" s="9" t="str">
        <f>"341227199503160462"</f>
        <v>341227199503160462</v>
      </c>
      <c r="E941" s="14" t="str">
        <f t="shared" si="72"/>
        <v>护理</v>
      </c>
      <c r="F941" s="9" t="str">
        <f>"2018013229"</f>
        <v>2018013229</v>
      </c>
      <c r="G941" s="9">
        <v>39</v>
      </c>
      <c r="H941" s="9">
        <v>99</v>
      </c>
      <c r="I941" s="9">
        <f t="shared" si="70"/>
        <v>81</v>
      </c>
      <c r="J941" s="9"/>
      <c r="K941" s="3">
        <v>32</v>
      </c>
      <c r="L941" s="3">
        <v>29</v>
      </c>
    </row>
    <row r="942" spans="1:12" ht="18.75" customHeight="1">
      <c r="A942" s="3" t="str">
        <f>"10522018022708431582132"</f>
        <v>10522018022708431582132</v>
      </c>
      <c r="B942" s="8" t="s">
        <v>31</v>
      </c>
      <c r="C942" s="9" t="str">
        <f t="shared" si="71"/>
        <v>女</v>
      </c>
      <c r="D942" s="9" t="str">
        <f>"340322199606066826"</f>
        <v>340322199606066826</v>
      </c>
      <c r="E942" s="14" t="str">
        <f t="shared" si="72"/>
        <v>护理</v>
      </c>
      <c r="F942" s="9" t="str">
        <f>"2018013122"</f>
        <v>2018013122</v>
      </c>
      <c r="G942" s="9">
        <v>36.5</v>
      </c>
      <c r="H942" s="9">
        <v>100</v>
      </c>
      <c r="I942" s="9">
        <f t="shared" si="70"/>
        <v>80.95</v>
      </c>
      <c r="J942" s="9"/>
      <c r="K942" s="3">
        <v>31</v>
      </c>
      <c r="L942" s="3">
        <v>22</v>
      </c>
    </row>
    <row r="943" spans="1:12" ht="18.75" customHeight="1">
      <c r="A943" s="3" t="str">
        <f>"10522018022621545582100"</f>
        <v>10522018022621545582100</v>
      </c>
      <c r="B943" s="8" t="s">
        <v>31</v>
      </c>
      <c r="C943" s="9" t="str">
        <f t="shared" si="71"/>
        <v>女</v>
      </c>
      <c r="D943" s="9" t="str">
        <f>"341223199403041524"</f>
        <v>341223199403041524</v>
      </c>
      <c r="E943" s="14" t="str">
        <f t="shared" si="72"/>
        <v>护理</v>
      </c>
      <c r="F943" s="9" t="str">
        <f>"2018012722"</f>
        <v>2018012722</v>
      </c>
      <c r="G943" s="9">
        <v>52.5</v>
      </c>
      <c r="H943" s="9">
        <v>93</v>
      </c>
      <c r="I943" s="9">
        <f t="shared" si="70"/>
        <v>80.849999999999994</v>
      </c>
      <c r="J943" s="9"/>
      <c r="K943" s="3">
        <v>27</v>
      </c>
      <c r="L943" s="3">
        <v>22</v>
      </c>
    </row>
    <row r="944" spans="1:12" ht="18.75" customHeight="1">
      <c r="A944" s="3" t="str">
        <f>"10522018030120485183024"</f>
        <v>10522018030120485183024</v>
      </c>
      <c r="B944" s="8" t="s">
        <v>31</v>
      </c>
      <c r="C944" s="9" t="str">
        <f t="shared" si="71"/>
        <v>女</v>
      </c>
      <c r="D944" s="9" t="str">
        <f>"341223199508310129"</f>
        <v>341223199508310129</v>
      </c>
      <c r="E944" s="14" t="str">
        <f t="shared" si="72"/>
        <v>护理</v>
      </c>
      <c r="F944" s="9" t="str">
        <f>"2018013227"</f>
        <v>2018013227</v>
      </c>
      <c r="G944" s="9">
        <v>44.5</v>
      </c>
      <c r="H944" s="9">
        <v>96</v>
      </c>
      <c r="I944" s="9">
        <f t="shared" si="70"/>
        <v>80.549999999999983</v>
      </c>
      <c r="J944" s="9"/>
      <c r="K944" s="3">
        <v>32</v>
      </c>
      <c r="L944" s="3">
        <v>27</v>
      </c>
    </row>
    <row r="945" spans="1:12" ht="18.75" customHeight="1">
      <c r="A945" s="3" t="str">
        <f>"10522018022723382182451"</f>
        <v>10522018022723382182451</v>
      </c>
      <c r="B945" s="8" t="s">
        <v>31</v>
      </c>
      <c r="C945" s="9" t="str">
        <f t="shared" si="71"/>
        <v>女</v>
      </c>
      <c r="D945" s="9" t="str">
        <f>"341621199401073724"</f>
        <v>341621199401073724</v>
      </c>
      <c r="E945" s="14" t="str">
        <f t="shared" si="72"/>
        <v>护理</v>
      </c>
      <c r="F945" s="9" t="str">
        <f>"2018012627"</f>
        <v>2018012627</v>
      </c>
      <c r="G945" s="9">
        <v>42</v>
      </c>
      <c r="H945" s="9">
        <v>97</v>
      </c>
      <c r="I945" s="9">
        <f t="shared" si="70"/>
        <v>80.499999999999986</v>
      </c>
      <c r="J945" s="9"/>
      <c r="K945" s="3">
        <v>26</v>
      </c>
      <c r="L945" s="3">
        <v>27</v>
      </c>
    </row>
    <row r="946" spans="1:12" ht="18.75" customHeight="1">
      <c r="A946" s="3" t="str">
        <f>"10522018022812580982573"</f>
        <v>10522018022812580982573</v>
      </c>
      <c r="B946" s="8" t="s">
        <v>31</v>
      </c>
      <c r="C946" s="9" t="str">
        <f t="shared" si="71"/>
        <v>女</v>
      </c>
      <c r="D946" s="9" t="str">
        <f>"34162119940315312X"</f>
        <v>34162119940315312X</v>
      </c>
      <c r="E946" s="14" t="str">
        <f t="shared" si="72"/>
        <v>护理</v>
      </c>
      <c r="F946" s="9" t="str">
        <f>"2018013113"</f>
        <v>2018013113</v>
      </c>
      <c r="G946" s="9">
        <v>58</v>
      </c>
      <c r="H946" s="9">
        <v>90</v>
      </c>
      <c r="I946" s="9">
        <f t="shared" si="70"/>
        <v>80.399999999999991</v>
      </c>
      <c r="J946" s="9"/>
      <c r="K946" s="3">
        <v>31</v>
      </c>
      <c r="L946" s="3">
        <v>13</v>
      </c>
    </row>
    <row r="947" spans="1:12" ht="18.75" customHeight="1">
      <c r="A947" s="3" t="str">
        <f>"10522018022708275882129"</f>
        <v>10522018022708275882129</v>
      </c>
      <c r="B947" s="8" t="s">
        <v>31</v>
      </c>
      <c r="C947" s="9" t="str">
        <f t="shared" si="71"/>
        <v>女</v>
      </c>
      <c r="D947" s="9" t="str">
        <f>"341623199507125222"</f>
        <v>341623199507125222</v>
      </c>
      <c r="E947" s="14" t="str">
        <f t="shared" si="72"/>
        <v>护理</v>
      </c>
      <c r="F947" s="9" t="str">
        <f>"2018012425"</f>
        <v>2018012425</v>
      </c>
      <c r="G947" s="9">
        <v>39</v>
      </c>
      <c r="H947" s="9">
        <v>98</v>
      </c>
      <c r="I947" s="9">
        <f t="shared" si="70"/>
        <v>80.3</v>
      </c>
      <c r="J947" s="9"/>
      <c r="K947" s="3">
        <v>24</v>
      </c>
      <c r="L947" s="3">
        <v>25</v>
      </c>
    </row>
    <row r="948" spans="1:12" ht="18.75" customHeight="1">
      <c r="A948" s="3" t="str">
        <f>"10522018030209040883079"</f>
        <v>10522018030209040883079</v>
      </c>
      <c r="B948" s="8" t="s">
        <v>31</v>
      </c>
      <c r="C948" s="9" t="str">
        <f t="shared" si="71"/>
        <v>女</v>
      </c>
      <c r="D948" s="9" t="str">
        <f>"341223199408254326"</f>
        <v>341223199408254326</v>
      </c>
      <c r="E948" s="14" t="str">
        <f t="shared" si="72"/>
        <v>护理</v>
      </c>
      <c r="F948" s="9" t="str">
        <f>"2018012522"</f>
        <v>2018012522</v>
      </c>
      <c r="G948" s="9">
        <v>29.5</v>
      </c>
      <c r="H948" s="9">
        <v>102</v>
      </c>
      <c r="I948" s="9">
        <f t="shared" si="70"/>
        <v>80.249999999999986</v>
      </c>
      <c r="J948" s="9"/>
      <c r="K948" s="3">
        <v>25</v>
      </c>
      <c r="L948" s="3">
        <v>22</v>
      </c>
    </row>
    <row r="949" spans="1:12" ht="18.75" customHeight="1">
      <c r="A949" s="3" t="str">
        <f>"10522018030116344282958"</f>
        <v>10522018030116344282958</v>
      </c>
      <c r="B949" s="8" t="s">
        <v>31</v>
      </c>
      <c r="C949" s="9" t="str">
        <f t="shared" si="71"/>
        <v>女</v>
      </c>
      <c r="D949" s="9" t="str">
        <f>"341223199304010028"</f>
        <v>341223199304010028</v>
      </c>
      <c r="E949" s="14" t="str">
        <f t="shared" si="72"/>
        <v>护理</v>
      </c>
      <c r="F949" s="9" t="str">
        <f>"2018012414"</f>
        <v>2018012414</v>
      </c>
      <c r="G949" s="9">
        <v>52.5</v>
      </c>
      <c r="H949" s="9">
        <v>92</v>
      </c>
      <c r="I949" s="9">
        <f t="shared" si="70"/>
        <v>80.149999999999991</v>
      </c>
      <c r="J949" s="9"/>
      <c r="K949" s="3">
        <v>24</v>
      </c>
      <c r="L949" s="3">
        <v>14</v>
      </c>
    </row>
    <row r="950" spans="1:12" ht="18.75" customHeight="1">
      <c r="A950" s="3" t="str">
        <f>"10522018022613213481836"</f>
        <v>10522018022613213481836</v>
      </c>
      <c r="B950" s="8" t="s">
        <v>31</v>
      </c>
      <c r="C950" s="9" t="str">
        <f t="shared" si="71"/>
        <v>女</v>
      </c>
      <c r="D950" s="9" t="str">
        <f>"341281199606068448"</f>
        <v>341281199606068448</v>
      </c>
      <c r="E950" s="14" t="str">
        <f t="shared" si="72"/>
        <v>护理</v>
      </c>
      <c r="F950" s="9" t="str">
        <f>"2018013114"</f>
        <v>2018013114</v>
      </c>
      <c r="G950" s="9">
        <v>35.5</v>
      </c>
      <c r="H950" s="9">
        <v>99</v>
      </c>
      <c r="I950" s="9">
        <f t="shared" si="70"/>
        <v>79.95</v>
      </c>
      <c r="J950" s="9"/>
      <c r="K950" s="3">
        <v>31</v>
      </c>
      <c r="L950" s="3">
        <v>14</v>
      </c>
    </row>
    <row r="951" spans="1:12" ht="18.75" customHeight="1">
      <c r="A951" s="3" t="str">
        <f>"10522018022613223981839"</f>
        <v>10522018022613223981839</v>
      </c>
      <c r="B951" s="8" t="s">
        <v>31</v>
      </c>
      <c r="C951" s="9" t="str">
        <f t="shared" si="71"/>
        <v>女</v>
      </c>
      <c r="D951" s="9" t="str">
        <f>"341227199504128720"</f>
        <v>341227199504128720</v>
      </c>
      <c r="E951" s="14" t="str">
        <f t="shared" si="72"/>
        <v>护理</v>
      </c>
      <c r="F951" s="9" t="str">
        <f>"2018012525"</f>
        <v>2018012525</v>
      </c>
      <c r="G951" s="9">
        <v>40</v>
      </c>
      <c r="H951" s="9">
        <v>97</v>
      </c>
      <c r="I951" s="9">
        <f t="shared" si="70"/>
        <v>79.899999999999991</v>
      </c>
      <c r="J951" s="9"/>
      <c r="K951" s="3">
        <v>25</v>
      </c>
      <c r="L951" s="3">
        <v>25</v>
      </c>
    </row>
    <row r="952" spans="1:12" ht="18.75" customHeight="1">
      <c r="A952" s="3" t="str">
        <f>"10522018022822235882762"</f>
        <v>10522018022822235882762</v>
      </c>
      <c r="B952" s="8" t="s">
        <v>31</v>
      </c>
      <c r="C952" s="9" t="str">
        <f t="shared" si="71"/>
        <v>女</v>
      </c>
      <c r="D952" s="9" t="str">
        <f>"341621199602062327"</f>
        <v>341621199602062327</v>
      </c>
      <c r="E952" s="14" t="str">
        <f t="shared" si="72"/>
        <v>护理</v>
      </c>
      <c r="F952" s="9" t="str">
        <f>"2018012801"</f>
        <v>2018012801</v>
      </c>
      <c r="G952" s="9">
        <v>54</v>
      </c>
      <c r="H952" s="9">
        <v>91</v>
      </c>
      <c r="I952" s="9">
        <f t="shared" si="70"/>
        <v>79.899999999999991</v>
      </c>
      <c r="J952" s="9"/>
      <c r="K952" s="3">
        <v>28</v>
      </c>
      <c r="L952" s="3">
        <v>1</v>
      </c>
    </row>
    <row r="953" spans="1:12" ht="18.75" customHeight="1">
      <c r="A953" s="3" t="str">
        <f>"10522018022708495982135"</f>
        <v>10522018022708495982135</v>
      </c>
      <c r="B953" s="8" t="s">
        <v>31</v>
      </c>
      <c r="C953" s="9" t="str">
        <f t="shared" si="71"/>
        <v>女</v>
      </c>
      <c r="D953" s="9" t="str">
        <f>"341223199406080924"</f>
        <v>341223199406080924</v>
      </c>
      <c r="E953" s="14" t="str">
        <f t="shared" si="72"/>
        <v>护理</v>
      </c>
      <c r="F953" s="9" t="str">
        <f>"2018012415"</f>
        <v>2018012415</v>
      </c>
      <c r="G953" s="9">
        <v>58</v>
      </c>
      <c r="H953" s="9">
        <v>89</v>
      </c>
      <c r="I953" s="9">
        <f t="shared" si="70"/>
        <v>79.699999999999989</v>
      </c>
      <c r="J953" s="9"/>
      <c r="K953" s="3">
        <v>24</v>
      </c>
      <c r="L953" s="3">
        <v>15</v>
      </c>
    </row>
    <row r="954" spans="1:12" ht="18.75" customHeight="1">
      <c r="A954" s="3" t="str">
        <f>"10522018030119553783009"</f>
        <v>10522018030119553783009</v>
      </c>
      <c r="B954" s="8" t="s">
        <v>31</v>
      </c>
      <c r="C954" s="9" t="str">
        <f t="shared" si="71"/>
        <v>女</v>
      </c>
      <c r="D954" s="9" t="str">
        <f>"341223199307210324"</f>
        <v>341223199307210324</v>
      </c>
      <c r="E954" s="14" t="str">
        <f t="shared" si="72"/>
        <v>护理</v>
      </c>
      <c r="F954" s="9" t="str">
        <f>"2018013126"</f>
        <v>2018013126</v>
      </c>
      <c r="G954" s="9">
        <v>36.5</v>
      </c>
      <c r="H954" s="9">
        <v>98</v>
      </c>
      <c r="I954" s="9">
        <f t="shared" si="70"/>
        <v>79.55</v>
      </c>
      <c r="J954" s="9"/>
      <c r="K954" s="3">
        <v>31</v>
      </c>
      <c r="L954" s="3">
        <v>26</v>
      </c>
    </row>
    <row r="955" spans="1:12" ht="18.75" customHeight="1">
      <c r="A955" s="3" t="str">
        <f>"10522018022613460581856"</f>
        <v>10522018022613460581856</v>
      </c>
      <c r="B955" s="8" t="s">
        <v>31</v>
      </c>
      <c r="C955" s="9" t="str">
        <f t="shared" si="71"/>
        <v>女</v>
      </c>
      <c r="D955" s="9" t="str">
        <f>"340603199503250222"</f>
        <v>340603199503250222</v>
      </c>
      <c r="E955" s="14" t="str">
        <f t="shared" si="72"/>
        <v>护理</v>
      </c>
      <c r="F955" s="9" t="str">
        <f>"2018012606"</f>
        <v>2018012606</v>
      </c>
      <c r="G955" s="9">
        <v>55</v>
      </c>
      <c r="H955" s="9">
        <v>90</v>
      </c>
      <c r="I955" s="9">
        <f t="shared" si="70"/>
        <v>79.5</v>
      </c>
      <c r="J955" s="9"/>
      <c r="K955" s="3">
        <v>26</v>
      </c>
      <c r="L955" s="3">
        <v>6</v>
      </c>
    </row>
    <row r="956" spans="1:12" ht="18.75" customHeight="1">
      <c r="A956" s="3" t="str">
        <f>"10522018022609424981625"</f>
        <v>10522018022609424981625</v>
      </c>
      <c r="B956" s="8" t="s">
        <v>31</v>
      </c>
      <c r="C956" s="9" t="str">
        <f t="shared" si="71"/>
        <v>女</v>
      </c>
      <c r="D956" s="9" t="str">
        <f>"341223199310021567"</f>
        <v>341223199310021567</v>
      </c>
      <c r="E956" s="14" t="str">
        <f t="shared" si="72"/>
        <v>护理</v>
      </c>
      <c r="F956" s="9" t="str">
        <f>"2018012508"</f>
        <v>2018012508</v>
      </c>
      <c r="G956" s="9">
        <v>50</v>
      </c>
      <c r="H956" s="9">
        <v>92</v>
      </c>
      <c r="I956" s="9">
        <f t="shared" si="70"/>
        <v>79.399999999999991</v>
      </c>
      <c r="J956" s="9"/>
      <c r="K956" s="3">
        <v>25</v>
      </c>
      <c r="L956" s="3">
        <v>8</v>
      </c>
    </row>
    <row r="957" spans="1:12" ht="18.75" customHeight="1">
      <c r="A957" s="3" t="str">
        <f>"10522018022813015682577"</f>
        <v>10522018022813015682577</v>
      </c>
      <c r="B957" s="8" t="s">
        <v>31</v>
      </c>
      <c r="C957" s="9" t="str">
        <f t="shared" si="71"/>
        <v>女</v>
      </c>
      <c r="D957" s="9" t="str">
        <f>"341227199501210024"</f>
        <v>341227199501210024</v>
      </c>
      <c r="E957" s="14" t="str">
        <f t="shared" si="72"/>
        <v>护理</v>
      </c>
      <c r="F957" s="9" t="str">
        <f>"2018012613"</f>
        <v>2018012613</v>
      </c>
      <c r="G957" s="9">
        <v>33.5</v>
      </c>
      <c r="H957" s="9">
        <v>99</v>
      </c>
      <c r="I957" s="9">
        <f t="shared" si="70"/>
        <v>79.349999999999994</v>
      </c>
      <c r="J957" s="9"/>
      <c r="K957" s="3">
        <v>26</v>
      </c>
      <c r="L957" s="3">
        <v>13</v>
      </c>
    </row>
    <row r="958" spans="1:12" ht="18.75" customHeight="1">
      <c r="A958" s="3" t="str">
        <f>"10522018030208444483072"</f>
        <v>10522018030208444483072</v>
      </c>
      <c r="B958" s="8" t="s">
        <v>31</v>
      </c>
      <c r="C958" s="9" t="str">
        <f t="shared" si="71"/>
        <v>女</v>
      </c>
      <c r="D958" s="9" t="str">
        <f>"341621199305100323"</f>
        <v>341621199305100323</v>
      </c>
      <c r="E958" s="14" t="str">
        <f t="shared" si="72"/>
        <v>护理</v>
      </c>
      <c r="F958" s="9" t="str">
        <f>"2018013115"</f>
        <v>2018013115</v>
      </c>
      <c r="G958" s="9">
        <v>37.5</v>
      </c>
      <c r="H958" s="9">
        <v>97</v>
      </c>
      <c r="I958" s="9">
        <f t="shared" si="70"/>
        <v>79.149999999999991</v>
      </c>
      <c r="J958" s="9"/>
      <c r="K958" s="3">
        <v>31</v>
      </c>
      <c r="L958" s="3">
        <v>15</v>
      </c>
    </row>
    <row r="959" spans="1:12" ht="18.75" customHeight="1">
      <c r="A959" s="3" t="str">
        <f>"10522018022620201582052"</f>
        <v>10522018022620201582052</v>
      </c>
      <c r="B959" s="8" t="s">
        <v>31</v>
      </c>
      <c r="C959" s="9" t="str">
        <f t="shared" si="71"/>
        <v>女</v>
      </c>
      <c r="D959" s="9" t="str">
        <f>"34122619960918102X"</f>
        <v>34122619960918102X</v>
      </c>
      <c r="E959" s="14" t="str">
        <f t="shared" si="72"/>
        <v>护理</v>
      </c>
      <c r="F959" s="9" t="str">
        <f>"2018012714"</f>
        <v>2018012714</v>
      </c>
      <c r="G959" s="9">
        <v>42</v>
      </c>
      <c r="H959" s="9">
        <v>95</v>
      </c>
      <c r="I959" s="9">
        <f t="shared" si="70"/>
        <v>79.099999999999994</v>
      </c>
      <c r="J959" s="9"/>
      <c r="K959" s="3">
        <v>27</v>
      </c>
      <c r="L959" s="3">
        <v>14</v>
      </c>
    </row>
    <row r="960" spans="1:12" ht="18.75" customHeight="1">
      <c r="A960" s="3" t="str">
        <f>"10522018030120405383020"</f>
        <v>10522018030120405383020</v>
      </c>
      <c r="B960" s="8" t="s">
        <v>31</v>
      </c>
      <c r="C960" s="9" t="str">
        <f t="shared" si="71"/>
        <v>女</v>
      </c>
      <c r="D960" s="9" t="str">
        <f>"341223199402141726"</f>
        <v>341223199402141726</v>
      </c>
      <c r="E960" s="14" t="str">
        <f t="shared" si="72"/>
        <v>护理</v>
      </c>
      <c r="F960" s="9" t="str">
        <f>"2018012820"</f>
        <v>2018012820</v>
      </c>
      <c r="G960" s="9">
        <v>58</v>
      </c>
      <c r="H960" s="9">
        <v>88</v>
      </c>
      <c r="I960" s="9">
        <f t="shared" si="70"/>
        <v>79</v>
      </c>
      <c r="J960" s="9"/>
      <c r="K960" s="3">
        <v>28</v>
      </c>
      <c r="L960" s="3">
        <v>20</v>
      </c>
    </row>
    <row r="961" spans="1:12" ht="18.75" customHeight="1">
      <c r="A961" s="3" t="str">
        <f>"10522018022715333882284"</f>
        <v>10522018022715333882284</v>
      </c>
      <c r="B961" s="8" t="s">
        <v>31</v>
      </c>
      <c r="C961" s="9" t="str">
        <f t="shared" si="71"/>
        <v>女</v>
      </c>
      <c r="D961" s="9" t="str">
        <f>"341227199612159524"</f>
        <v>341227199612159524</v>
      </c>
      <c r="E961" s="14" t="str">
        <f t="shared" si="72"/>
        <v>护理</v>
      </c>
      <c r="F961" s="9" t="str">
        <f>"2018013021"</f>
        <v>2018013021</v>
      </c>
      <c r="G961" s="9">
        <v>35.5</v>
      </c>
      <c r="H961" s="9">
        <v>97</v>
      </c>
      <c r="I961" s="9">
        <f t="shared" si="70"/>
        <v>78.55</v>
      </c>
      <c r="J961" s="9"/>
      <c r="K961" s="3">
        <v>30</v>
      </c>
      <c r="L961" s="3">
        <v>21</v>
      </c>
    </row>
    <row r="962" spans="1:12" ht="18.75" customHeight="1">
      <c r="A962" s="3" t="str">
        <f>"10522018022715103082274"</f>
        <v>10522018022715103082274</v>
      </c>
      <c r="B962" s="8" t="s">
        <v>31</v>
      </c>
      <c r="C962" s="9" t="str">
        <f t="shared" si="71"/>
        <v>女</v>
      </c>
      <c r="D962" s="9" t="str">
        <f>"341623199604262640"</f>
        <v>341623199604262640</v>
      </c>
      <c r="E962" s="14" t="str">
        <f t="shared" si="72"/>
        <v>护理</v>
      </c>
      <c r="F962" s="9" t="str">
        <f>"2018012610"</f>
        <v>2018012610</v>
      </c>
      <c r="G962" s="9">
        <v>46.5</v>
      </c>
      <c r="H962" s="9">
        <v>92</v>
      </c>
      <c r="I962" s="9">
        <f t="shared" si="70"/>
        <v>78.349999999999994</v>
      </c>
      <c r="J962" s="9"/>
      <c r="K962" s="3">
        <v>26</v>
      </c>
      <c r="L962" s="3">
        <v>10</v>
      </c>
    </row>
    <row r="963" spans="1:12" ht="18.75" customHeight="1">
      <c r="A963" s="3" t="str">
        <f>"10522018030123020183050"</f>
        <v>10522018030123020183050</v>
      </c>
      <c r="B963" s="8" t="s">
        <v>31</v>
      </c>
      <c r="C963" s="9" t="str">
        <f t="shared" si="71"/>
        <v>女</v>
      </c>
      <c r="D963" s="9" t="str">
        <f>"341623199303032622"</f>
        <v>341623199303032622</v>
      </c>
      <c r="E963" s="14" t="str">
        <f t="shared" si="72"/>
        <v>护理</v>
      </c>
      <c r="F963" s="9" t="str">
        <f>"2018012614"</f>
        <v>2018012614</v>
      </c>
      <c r="G963" s="9">
        <v>50.5</v>
      </c>
      <c r="H963" s="9">
        <v>90</v>
      </c>
      <c r="I963" s="9">
        <f t="shared" ref="I963:I1025" si="73">G963*0.3+H963*0.7</f>
        <v>78.149999999999991</v>
      </c>
      <c r="J963" s="9"/>
      <c r="K963" s="3">
        <v>26</v>
      </c>
      <c r="L963" s="3">
        <v>14</v>
      </c>
    </row>
    <row r="964" spans="1:12" ht="18.75" customHeight="1">
      <c r="A964" s="3" t="str">
        <f>"10522018030116085482947"</f>
        <v>10522018030116085482947</v>
      </c>
      <c r="B964" s="8" t="s">
        <v>31</v>
      </c>
      <c r="C964" s="9" t="str">
        <f t="shared" si="71"/>
        <v>女</v>
      </c>
      <c r="D964" s="9" t="str">
        <f>"341621199303121921"</f>
        <v>341621199303121921</v>
      </c>
      <c r="E964" s="14" t="str">
        <f t="shared" si="72"/>
        <v>护理</v>
      </c>
      <c r="F964" s="9" t="str">
        <f>"2018013006"</f>
        <v>2018013006</v>
      </c>
      <c r="G964" s="9">
        <v>33.5</v>
      </c>
      <c r="H964" s="9">
        <v>97</v>
      </c>
      <c r="I964" s="9">
        <f t="shared" si="73"/>
        <v>77.949999999999989</v>
      </c>
      <c r="J964" s="9"/>
      <c r="K964" s="3">
        <v>30</v>
      </c>
      <c r="L964" s="3">
        <v>6</v>
      </c>
    </row>
    <row r="965" spans="1:12" ht="18.75" customHeight="1">
      <c r="A965" s="3" t="str">
        <f>"10522018022712164082214"</f>
        <v>10522018022712164082214</v>
      </c>
      <c r="B965" s="8" t="s">
        <v>31</v>
      </c>
      <c r="C965" s="9" t="str">
        <f t="shared" si="71"/>
        <v>女</v>
      </c>
      <c r="D965" s="9" t="str">
        <f>"341223199612161928"</f>
        <v>341223199612161928</v>
      </c>
      <c r="E965" s="14" t="str">
        <f t="shared" si="72"/>
        <v>护理</v>
      </c>
      <c r="F965" s="9" t="str">
        <f>"2018013204"</f>
        <v>2018013204</v>
      </c>
      <c r="G965" s="9">
        <v>33.5</v>
      </c>
      <c r="H965" s="9">
        <v>97</v>
      </c>
      <c r="I965" s="9">
        <f t="shared" si="73"/>
        <v>77.949999999999989</v>
      </c>
      <c r="J965" s="9"/>
      <c r="K965" s="3">
        <v>32</v>
      </c>
      <c r="L965" s="3">
        <v>4</v>
      </c>
    </row>
    <row r="966" spans="1:12" ht="18.75" customHeight="1">
      <c r="A966" s="3" t="str">
        <f>"10522018022609170581596"</f>
        <v>10522018022609170581596</v>
      </c>
      <c r="B966" s="8" t="s">
        <v>31</v>
      </c>
      <c r="C966" s="9" t="str">
        <f t="shared" ref="C966:C1028" si="74">"女"</f>
        <v>女</v>
      </c>
      <c r="D966" s="9" t="str">
        <f>"341621199307070922"</f>
        <v>341621199307070922</v>
      </c>
      <c r="E966" s="14" t="str">
        <f t="shared" ref="E966:E1028" si="75">"护理"</f>
        <v>护理</v>
      </c>
      <c r="F966" s="9" t="str">
        <f>"2018012803"</f>
        <v>2018012803</v>
      </c>
      <c r="G966" s="9">
        <v>42.5</v>
      </c>
      <c r="H966" s="9">
        <v>93</v>
      </c>
      <c r="I966" s="9">
        <f t="shared" si="73"/>
        <v>77.849999999999994</v>
      </c>
      <c r="J966" s="9"/>
      <c r="K966" s="3">
        <v>28</v>
      </c>
      <c r="L966" s="3">
        <v>3</v>
      </c>
    </row>
    <row r="967" spans="1:12" ht="18.75" customHeight="1">
      <c r="A967" s="3" t="str">
        <f>"10522018022819362582714"</f>
        <v>10522018022819362582714</v>
      </c>
      <c r="B967" s="8" t="s">
        <v>31</v>
      </c>
      <c r="C967" s="9" t="str">
        <f t="shared" si="74"/>
        <v>女</v>
      </c>
      <c r="D967" s="9" t="str">
        <f>"341227199505124027"</f>
        <v>341227199505124027</v>
      </c>
      <c r="E967" s="14" t="str">
        <f t="shared" si="75"/>
        <v>护理</v>
      </c>
      <c r="F967" s="9" t="str">
        <f>"2018012512"</f>
        <v>2018012512</v>
      </c>
      <c r="G967" s="9">
        <v>42</v>
      </c>
      <c r="H967" s="9">
        <v>93</v>
      </c>
      <c r="I967" s="9">
        <f t="shared" si="73"/>
        <v>77.699999999999989</v>
      </c>
      <c r="J967" s="9"/>
      <c r="K967" s="3">
        <v>25</v>
      </c>
      <c r="L967" s="3">
        <v>12</v>
      </c>
    </row>
    <row r="968" spans="1:12" ht="18.75" customHeight="1">
      <c r="A968" s="3" t="str">
        <f>"10522018022614460781893"</f>
        <v>10522018022614460781893</v>
      </c>
      <c r="B968" s="8" t="s">
        <v>31</v>
      </c>
      <c r="C968" s="9" t="str">
        <f t="shared" si="74"/>
        <v>女</v>
      </c>
      <c r="D968" s="9" t="str">
        <f>"340621199502203662"</f>
        <v>340621199502203662</v>
      </c>
      <c r="E968" s="14" t="str">
        <f t="shared" si="75"/>
        <v>护理</v>
      </c>
      <c r="F968" s="9" t="str">
        <f>"2018013222"</f>
        <v>2018013222</v>
      </c>
      <c r="G968" s="9">
        <v>49</v>
      </c>
      <c r="H968" s="9">
        <v>90</v>
      </c>
      <c r="I968" s="9">
        <f t="shared" si="73"/>
        <v>77.699999999999989</v>
      </c>
      <c r="J968" s="9"/>
      <c r="K968" s="3">
        <v>32</v>
      </c>
      <c r="L968" s="3">
        <v>22</v>
      </c>
    </row>
    <row r="969" spans="1:12" ht="18.75" customHeight="1">
      <c r="A969" s="3" t="str">
        <f>"10522018022720005282384"</f>
        <v>10522018022720005282384</v>
      </c>
      <c r="B969" s="8" t="s">
        <v>31</v>
      </c>
      <c r="C969" s="9" t="str">
        <f t="shared" si="74"/>
        <v>女</v>
      </c>
      <c r="D969" s="9" t="str">
        <f>"340621199412017065"</f>
        <v>340621199412017065</v>
      </c>
      <c r="E969" s="14" t="str">
        <f t="shared" si="75"/>
        <v>护理</v>
      </c>
      <c r="F969" s="9" t="str">
        <f>"2018012817"</f>
        <v>2018012817</v>
      </c>
      <c r="G969" s="9">
        <v>39.5</v>
      </c>
      <c r="H969" s="9">
        <v>94</v>
      </c>
      <c r="I969" s="9">
        <f t="shared" si="73"/>
        <v>77.649999999999991</v>
      </c>
      <c r="J969" s="9"/>
      <c r="K969" s="3">
        <v>28</v>
      </c>
      <c r="L969" s="3">
        <v>17</v>
      </c>
    </row>
    <row r="970" spans="1:12" ht="18.75" customHeight="1">
      <c r="A970" s="3" t="str">
        <f>"10522018030207363283065"</f>
        <v>10522018030207363283065</v>
      </c>
      <c r="B970" s="8" t="s">
        <v>31</v>
      </c>
      <c r="C970" s="9" t="str">
        <f t="shared" si="74"/>
        <v>女</v>
      </c>
      <c r="D970" s="9" t="str">
        <f>"340621199504207309"</f>
        <v>340621199504207309</v>
      </c>
      <c r="E970" s="14" t="str">
        <f t="shared" si="75"/>
        <v>护理</v>
      </c>
      <c r="F970" s="9" t="str">
        <f>"2018012422"</f>
        <v>2018012422</v>
      </c>
      <c r="G970" s="9">
        <v>37</v>
      </c>
      <c r="H970" s="9">
        <v>95</v>
      </c>
      <c r="I970" s="9">
        <f t="shared" si="73"/>
        <v>77.599999999999994</v>
      </c>
      <c r="J970" s="9"/>
      <c r="K970" s="3">
        <v>24</v>
      </c>
      <c r="L970" s="3">
        <v>22</v>
      </c>
    </row>
    <row r="971" spans="1:12" ht="18.75" customHeight="1">
      <c r="A971" s="3" t="str">
        <f>"10522018022717050082311"</f>
        <v>10522018022717050082311</v>
      </c>
      <c r="B971" s="8" t="s">
        <v>31</v>
      </c>
      <c r="C971" s="9" t="str">
        <f t="shared" si="74"/>
        <v>女</v>
      </c>
      <c r="D971" s="9" t="str">
        <f>"340604199406162227"</f>
        <v>340604199406162227</v>
      </c>
      <c r="E971" s="14" t="str">
        <f t="shared" si="75"/>
        <v>护理</v>
      </c>
      <c r="F971" s="9" t="str">
        <f>"2018012630"</f>
        <v>2018012630</v>
      </c>
      <c r="G971" s="9">
        <v>37</v>
      </c>
      <c r="H971" s="9">
        <v>95</v>
      </c>
      <c r="I971" s="9">
        <f t="shared" si="73"/>
        <v>77.599999999999994</v>
      </c>
      <c r="J971" s="9"/>
      <c r="K971" s="3">
        <v>26</v>
      </c>
      <c r="L971" s="3">
        <v>30</v>
      </c>
    </row>
    <row r="972" spans="1:12" ht="18.75" customHeight="1">
      <c r="A972" s="3" t="str">
        <f>"10522018022612375981799"</f>
        <v>10522018022612375981799</v>
      </c>
      <c r="B972" s="8" t="s">
        <v>31</v>
      </c>
      <c r="C972" s="9" t="str">
        <f t="shared" si="74"/>
        <v>女</v>
      </c>
      <c r="D972" s="9" t="str">
        <f>"341227199405070228"</f>
        <v>341227199405070228</v>
      </c>
      <c r="E972" s="14" t="str">
        <f t="shared" si="75"/>
        <v>护理</v>
      </c>
      <c r="F972" s="9" t="str">
        <f>"2018012401"</f>
        <v>2018012401</v>
      </c>
      <c r="G972" s="9">
        <v>34.5</v>
      </c>
      <c r="H972" s="9">
        <v>96</v>
      </c>
      <c r="I972" s="9">
        <f t="shared" si="73"/>
        <v>77.549999999999983</v>
      </c>
      <c r="J972" s="9"/>
      <c r="K972" s="3">
        <v>24</v>
      </c>
      <c r="L972" s="3">
        <v>1</v>
      </c>
    </row>
    <row r="973" spans="1:12" ht="18.75" customHeight="1">
      <c r="A973" s="3" t="str">
        <f>"10522018022610205681668"</f>
        <v>10522018022610205681668</v>
      </c>
      <c r="B973" s="8" t="s">
        <v>31</v>
      </c>
      <c r="C973" s="9" t="str">
        <f t="shared" si="74"/>
        <v>女</v>
      </c>
      <c r="D973" s="9" t="str">
        <f>"341224199604199906"</f>
        <v>341224199604199906</v>
      </c>
      <c r="E973" s="14" t="str">
        <f t="shared" si="75"/>
        <v>护理</v>
      </c>
      <c r="F973" s="9" t="str">
        <f>"2018012626"</f>
        <v>2018012626</v>
      </c>
      <c r="G973" s="9">
        <v>39</v>
      </c>
      <c r="H973" s="9">
        <v>94</v>
      </c>
      <c r="I973" s="9">
        <f t="shared" si="73"/>
        <v>77.5</v>
      </c>
      <c r="J973" s="9"/>
      <c r="K973" s="3">
        <v>26</v>
      </c>
      <c r="L973" s="3">
        <v>26</v>
      </c>
    </row>
    <row r="974" spans="1:12" ht="18.75" customHeight="1">
      <c r="A974" s="3" t="str">
        <f>"10522018030213142383140"</f>
        <v>10522018030213142383140</v>
      </c>
      <c r="B974" s="8" t="s">
        <v>31</v>
      </c>
      <c r="C974" s="9" t="str">
        <f t="shared" si="74"/>
        <v>女</v>
      </c>
      <c r="D974" s="9" t="str">
        <f>"341202199701070022"</f>
        <v>341202199701070022</v>
      </c>
      <c r="E974" s="14" t="str">
        <f t="shared" si="75"/>
        <v>护理</v>
      </c>
      <c r="F974" s="9" t="str">
        <f>"2018012421"</f>
        <v>2018012421</v>
      </c>
      <c r="G974" s="9">
        <v>38.5</v>
      </c>
      <c r="H974" s="9">
        <v>94</v>
      </c>
      <c r="I974" s="9">
        <f t="shared" si="73"/>
        <v>77.349999999999994</v>
      </c>
      <c r="J974" s="9"/>
      <c r="K974" s="3">
        <v>24</v>
      </c>
      <c r="L974" s="3">
        <v>21</v>
      </c>
    </row>
    <row r="975" spans="1:12" ht="18.75" customHeight="1">
      <c r="A975" s="3" t="str">
        <f>"10522018022717385982318"</f>
        <v>10522018022717385982318</v>
      </c>
      <c r="B975" s="8" t="s">
        <v>31</v>
      </c>
      <c r="C975" s="9" t="str">
        <f t="shared" si="74"/>
        <v>女</v>
      </c>
      <c r="D975" s="9" t="str">
        <f>"362202199310242581"</f>
        <v>362202199310242581</v>
      </c>
      <c r="E975" s="14" t="str">
        <f t="shared" si="75"/>
        <v>护理</v>
      </c>
      <c r="F975" s="9" t="str">
        <f>"2018013003"</f>
        <v>2018013003</v>
      </c>
      <c r="G975" s="9">
        <v>43</v>
      </c>
      <c r="H975" s="9">
        <v>92</v>
      </c>
      <c r="I975" s="9">
        <f t="shared" si="73"/>
        <v>77.3</v>
      </c>
      <c r="J975" s="9"/>
      <c r="K975" s="3">
        <v>30</v>
      </c>
      <c r="L975" s="3">
        <v>3</v>
      </c>
    </row>
    <row r="976" spans="1:12" ht="18.75" customHeight="1">
      <c r="A976" s="3" t="str">
        <f>"10522018022621422282093"</f>
        <v>10522018022621422282093</v>
      </c>
      <c r="B976" s="8" t="s">
        <v>31</v>
      </c>
      <c r="C976" s="9" t="str">
        <f t="shared" si="74"/>
        <v>女</v>
      </c>
      <c r="D976" s="9" t="str">
        <f>"341225199301078521"</f>
        <v>341225199301078521</v>
      </c>
      <c r="E976" s="14" t="str">
        <f t="shared" si="75"/>
        <v>护理</v>
      </c>
      <c r="F976" s="9" t="str">
        <f>"2018012707"</f>
        <v>2018012707</v>
      </c>
      <c r="G976" s="9">
        <v>45</v>
      </c>
      <c r="H976" s="9">
        <v>91</v>
      </c>
      <c r="I976" s="9">
        <f t="shared" si="73"/>
        <v>77.199999999999989</v>
      </c>
      <c r="J976" s="9"/>
      <c r="K976" s="3">
        <v>27</v>
      </c>
      <c r="L976" s="3">
        <v>7</v>
      </c>
    </row>
    <row r="977" spans="1:12" ht="18.75" customHeight="1">
      <c r="A977" s="3" t="str">
        <f>"10522018022814172682612"</f>
        <v>10522018022814172682612</v>
      </c>
      <c r="B977" s="8" t="s">
        <v>31</v>
      </c>
      <c r="C977" s="9" t="str">
        <f t="shared" si="74"/>
        <v>女</v>
      </c>
      <c r="D977" s="9" t="str">
        <f>"341223199710150026"</f>
        <v>341223199710150026</v>
      </c>
      <c r="E977" s="14" t="str">
        <f t="shared" si="75"/>
        <v>护理</v>
      </c>
      <c r="F977" s="9" t="str">
        <f>"2018013224"</f>
        <v>2018013224</v>
      </c>
      <c r="G977" s="9">
        <v>42</v>
      </c>
      <c r="H977" s="9">
        <v>92</v>
      </c>
      <c r="I977" s="9">
        <f t="shared" si="73"/>
        <v>76.999999999999986</v>
      </c>
      <c r="J977" s="9"/>
      <c r="K977" s="3">
        <v>32</v>
      </c>
      <c r="L977" s="3">
        <v>24</v>
      </c>
    </row>
    <row r="978" spans="1:12" ht="18.75" customHeight="1">
      <c r="A978" s="3" t="str">
        <f>"10522018022814504482621"</f>
        <v>10522018022814504482621</v>
      </c>
      <c r="B978" s="8" t="s">
        <v>31</v>
      </c>
      <c r="C978" s="9" t="str">
        <f t="shared" si="74"/>
        <v>女</v>
      </c>
      <c r="D978" s="9" t="str">
        <f>"341223199510301723"</f>
        <v>341223199510301723</v>
      </c>
      <c r="E978" s="14" t="str">
        <f t="shared" si="75"/>
        <v>护理</v>
      </c>
      <c r="F978" s="9" t="str">
        <f>"2018012504"</f>
        <v>2018012504</v>
      </c>
      <c r="G978" s="9">
        <v>25.5</v>
      </c>
      <c r="H978" s="9">
        <v>99</v>
      </c>
      <c r="I978" s="9">
        <f t="shared" si="73"/>
        <v>76.95</v>
      </c>
      <c r="J978" s="9"/>
      <c r="K978" s="3">
        <v>25</v>
      </c>
      <c r="L978" s="3">
        <v>4</v>
      </c>
    </row>
    <row r="979" spans="1:12" ht="18.75" customHeight="1">
      <c r="A979" s="3" t="str">
        <f>"10522018022718462582335"</f>
        <v>10522018022718462582335</v>
      </c>
      <c r="B979" s="8" t="s">
        <v>31</v>
      </c>
      <c r="C979" s="9" t="str">
        <f t="shared" si="74"/>
        <v>女</v>
      </c>
      <c r="D979" s="9" t="str">
        <f>"341223199502103348"</f>
        <v>341223199502103348</v>
      </c>
      <c r="E979" s="14" t="str">
        <f t="shared" si="75"/>
        <v>护理</v>
      </c>
      <c r="F979" s="9" t="str">
        <f>"2018012407"</f>
        <v>2018012407</v>
      </c>
      <c r="G979" s="9">
        <v>39.5</v>
      </c>
      <c r="H979" s="9">
        <v>93</v>
      </c>
      <c r="I979" s="9">
        <f t="shared" si="73"/>
        <v>76.949999999999989</v>
      </c>
      <c r="J979" s="9"/>
      <c r="K979" s="3">
        <v>24</v>
      </c>
      <c r="L979" s="3">
        <v>7</v>
      </c>
    </row>
    <row r="980" spans="1:12" ht="18.75" customHeight="1">
      <c r="A980" s="3" t="str">
        <f>"10522018022621492082097"</f>
        <v>10522018022621492082097</v>
      </c>
      <c r="B980" s="8" t="s">
        <v>31</v>
      </c>
      <c r="C980" s="9" t="str">
        <f t="shared" si="74"/>
        <v>女</v>
      </c>
      <c r="D980" s="9" t="str">
        <f>"340621199604014088"</f>
        <v>340621199604014088</v>
      </c>
      <c r="E980" s="14" t="str">
        <f t="shared" si="75"/>
        <v>护理</v>
      </c>
      <c r="F980" s="9" t="str">
        <f>"2018012705"</f>
        <v>2018012705</v>
      </c>
      <c r="G980" s="9">
        <v>44</v>
      </c>
      <c r="H980" s="9">
        <v>91</v>
      </c>
      <c r="I980" s="9">
        <f t="shared" si="73"/>
        <v>76.899999999999991</v>
      </c>
      <c r="J980" s="9"/>
      <c r="K980" s="3">
        <v>27</v>
      </c>
      <c r="L980" s="3">
        <v>5</v>
      </c>
    </row>
    <row r="981" spans="1:12" ht="18.75" customHeight="1">
      <c r="A981" s="3" t="str">
        <f>"10522018022710283682176"</f>
        <v>10522018022710283682176</v>
      </c>
      <c r="B981" s="8" t="s">
        <v>31</v>
      </c>
      <c r="C981" s="9" t="str">
        <f t="shared" si="74"/>
        <v>女</v>
      </c>
      <c r="D981" s="9" t="str">
        <f>"34162119930314172X"</f>
        <v>34162119930314172X</v>
      </c>
      <c r="E981" s="14" t="str">
        <f t="shared" si="75"/>
        <v>护理</v>
      </c>
      <c r="F981" s="9" t="str">
        <f>"2018012520"</f>
        <v>2018012520</v>
      </c>
      <c r="G981" s="9">
        <v>48.5</v>
      </c>
      <c r="H981" s="9">
        <v>89</v>
      </c>
      <c r="I981" s="9">
        <f t="shared" si="73"/>
        <v>76.849999999999994</v>
      </c>
      <c r="J981" s="9"/>
      <c r="K981" s="3">
        <v>25</v>
      </c>
      <c r="L981" s="3">
        <v>20</v>
      </c>
    </row>
    <row r="982" spans="1:12" ht="18.75" customHeight="1">
      <c r="A982" s="3" t="str">
        <f>"10522018022722030782436"</f>
        <v>10522018022722030782436</v>
      </c>
      <c r="B982" s="8" t="s">
        <v>31</v>
      </c>
      <c r="C982" s="9" t="str">
        <f t="shared" si="74"/>
        <v>女</v>
      </c>
      <c r="D982" s="9" t="str">
        <f>"341623199609044829"</f>
        <v>341623199609044829</v>
      </c>
      <c r="E982" s="14" t="str">
        <f t="shared" si="75"/>
        <v>护理</v>
      </c>
      <c r="F982" s="9" t="str">
        <f>"2018013116"</f>
        <v>2018013116</v>
      </c>
      <c r="G982" s="9">
        <v>55.5</v>
      </c>
      <c r="H982" s="9">
        <v>86</v>
      </c>
      <c r="I982" s="9">
        <f t="shared" si="73"/>
        <v>76.849999999999994</v>
      </c>
      <c r="J982" s="9"/>
      <c r="K982" s="3">
        <v>31</v>
      </c>
      <c r="L982" s="3">
        <v>16</v>
      </c>
    </row>
    <row r="983" spans="1:12" ht="18.75" customHeight="1">
      <c r="A983" s="3" t="str">
        <f>"10522018030213411083146"</f>
        <v>10522018030213411083146</v>
      </c>
      <c r="B983" s="8" t="s">
        <v>31</v>
      </c>
      <c r="C983" s="9" t="str">
        <f t="shared" si="74"/>
        <v>女</v>
      </c>
      <c r="D983" s="9" t="str">
        <f>"341227199708032624"</f>
        <v>341227199708032624</v>
      </c>
      <c r="E983" s="14" t="str">
        <f t="shared" si="75"/>
        <v>护理</v>
      </c>
      <c r="F983" s="9" t="str">
        <f>"2018012927"</f>
        <v>2018012927</v>
      </c>
      <c r="G983" s="9">
        <v>45</v>
      </c>
      <c r="H983" s="9">
        <v>90</v>
      </c>
      <c r="I983" s="9">
        <f t="shared" si="73"/>
        <v>76.5</v>
      </c>
      <c r="J983" s="9"/>
      <c r="K983" s="3">
        <v>29</v>
      </c>
      <c r="L983" s="3">
        <v>27</v>
      </c>
    </row>
    <row r="984" spans="1:12" ht="18.75" customHeight="1">
      <c r="A984" s="3" t="str">
        <f>"10522018022619180682028"</f>
        <v>10522018022619180682028</v>
      </c>
      <c r="B984" s="8" t="s">
        <v>31</v>
      </c>
      <c r="C984" s="9" t="str">
        <f t="shared" si="74"/>
        <v>女</v>
      </c>
      <c r="D984" s="9" t="str">
        <f>"341227199508170045"</f>
        <v>341227199508170045</v>
      </c>
      <c r="E984" s="14" t="str">
        <f t="shared" si="75"/>
        <v>护理</v>
      </c>
      <c r="F984" s="9" t="str">
        <f>"2018013215"</f>
        <v>2018013215</v>
      </c>
      <c r="G984" s="9">
        <v>42.5</v>
      </c>
      <c r="H984" s="9">
        <v>91</v>
      </c>
      <c r="I984" s="9">
        <f t="shared" si="73"/>
        <v>76.449999999999989</v>
      </c>
      <c r="J984" s="9"/>
      <c r="K984" s="3">
        <v>32</v>
      </c>
      <c r="L984" s="3">
        <v>15</v>
      </c>
    </row>
    <row r="985" spans="1:12" ht="18.75" customHeight="1">
      <c r="A985" s="3" t="str">
        <f>"10522018030200350283058"</f>
        <v>10522018030200350283058</v>
      </c>
      <c r="B985" s="8" t="s">
        <v>31</v>
      </c>
      <c r="C985" s="9" t="str">
        <f t="shared" si="74"/>
        <v>女</v>
      </c>
      <c r="D985" s="9" t="str">
        <f>"341204199801050443"</f>
        <v>341204199801050443</v>
      </c>
      <c r="E985" s="14" t="str">
        <f t="shared" si="75"/>
        <v>护理</v>
      </c>
      <c r="F985" s="9" t="str">
        <f>"2018012725"</f>
        <v>2018012725</v>
      </c>
      <c r="G985" s="9">
        <v>47</v>
      </c>
      <c r="H985" s="9">
        <v>89</v>
      </c>
      <c r="I985" s="9">
        <f t="shared" si="73"/>
        <v>76.399999999999991</v>
      </c>
      <c r="J985" s="9"/>
      <c r="K985" s="3">
        <v>27</v>
      </c>
      <c r="L985" s="3">
        <v>25</v>
      </c>
    </row>
    <row r="986" spans="1:12" ht="18.75" customHeight="1">
      <c r="A986" s="3" t="str">
        <f>"10522018022812104882558"</f>
        <v>10522018022812104882558</v>
      </c>
      <c r="B986" s="8" t="s">
        <v>31</v>
      </c>
      <c r="C986" s="9" t="str">
        <f t="shared" si="74"/>
        <v>女</v>
      </c>
      <c r="D986" s="9" t="str">
        <f>"341621199506262724"</f>
        <v>341621199506262724</v>
      </c>
      <c r="E986" s="14" t="str">
        <f t="shared" si="75"/>
        <v>护理</v>
      </c>
      <c r="F986" s="9" t="str">
        <f>"2018012908"</f>
        <v>2018012908</v>
      </c>
      <c r="G986" s="9">
        <v>47</v>
      </c>
      <c r="H986" s="9">
        <v>89</v>
      </c>
      <c r="I986" s="9">
        <f t="shared" si="73"/>
        <v>76.399999999999991</v>
      </c>
      <c r="J986" s="9"/>
      <c r="K986" s="3">
        <v>29</v>
      </c>
      <c r="L986" s="3">
        <v>8</v>
      </c>
    </row>
    <row r="987" spans="1:12" ht="18.75" customHeight="1">
      <c r="A987" s="3" t="str">
        <f>"10522018022610404681695"</f>
        <v>10522018022610404681695</v>
      </c>
      <c r="B987" s="8" t="s">
        <v>31</v>
      </c>
      <c r="C987" s="9" t="str">
        <f t="shared" si="74"/>
        <v>女</v>
      </c>
      <c r="D987" s="9" t="str">
        <f>"341221199401027048"</f>
        <v>341221199401027048</v>
      </c>
      <c r="E987" s="14" t="str">
        <f t="shared" si="75"/>
        <v>护理</v>
      </c>
      <c r="F987" s="9" t="str">
        <f>"2018013111"</f>
        <v>2018013111</v>
      </c>
      <c r="G987" s="9">
        <v>40</v>
      </c>
      <c r="H987" s="9">
        <v>92</v>
      </c>
      <c r="I987" s="9">
        <f t="shared" si="73"/>
        <v>76.399999999999991</v>
      </c>
      <c r="J987" s="9"/>
      <c r="K987" s="3">
        <v>31</v>
      </c>
      <c r="L987" s="3">
        <v>11</v>
      </c>
    </row>
    <row r="988" spans="1:12" ht="18.75" customHeight="1">
      <c r="A988" s="3" t="str">
        <f>"10522018030116110182948"</f>
        <v>10522018030116110182948</v>
      </c>
      <c r="B988" s="8" t="s">
        <v>31</v>
      </c>
      <c r="C988" s="9" t="str">
        <f t="shared" si="74"/>
        <v>女</v>
      </c>
      <c r="D988" s="9" t="str">
        <f>"341221199710282106"</f>
        <v>341221199710282106</v>
      </c>
      <c r="E988" s="14" t="str">
        <f t="shared" si="75"/>
        <v>护理</v>
      </c>
      <c r="F988" s="9" t="str">
        <f>"2018013028"</f>
        <v>2018013028</v>
      </c>
      <c r="G988" s="9">
        <v>30.5</v>
      </c>
      <c r="H988" s="9">
        <v>96</v>
      </c>
      <c r="I988" s="9">
        <f t="shared" si="73"/>
        <v>76.349999999999994</v>
      </c>
      <c r="J988" s="9"/>
      <c r="K988" s="3">
        <v>30</v>
      </c>
      <c r="L988" s="3">
        <v>28</v>
      </c>
    </row>
    <row r="989" spans="1:12" ht="18.75" customHeight="1">
      <c r="A989" s="3" t="str">
        <f>"10522018022610394281694"</f>
        <v>10522018022610394281694</v>
      </c>
      <c r="B989" s="8" t="s">
        <v>31</v>
      </c>
      <c r="C989" s="9" t="str">
        <f t="shared" si="74"/>
        <v>女</v>
      </c>
      <c r="D989" s="9" t="str">
        <f>"341281199711166568"</f>
        <v>341281199711166568</v>
      </c>
      <c r="E989" s="14" t="str">
        <f t="shared" si="75"/>
        <v>护理</v>
      </c>
      <c r="F989" s="9" t="str">
        <f>"2018012609"</f>
        <v>2018012609</v>
      </c>
      <c r="G989" s="9">
        <v>32.5</v>
      </c>
      <c r="H989" s="9">
        <v>95</v>
      </c>
      <c r="I989" s="9">
        <f t="shared" si="73"/>
        <v>76.25</v>
      </c>
      <c r="J989" s="9"/>
      <c r="K989" s="3">
        <v>26</v>
      </c>
      <c r="L989" s="3">
        <v>9</v>
      </c>
    </row>
    <row r="990" spans="1:12" ht="18.75" customHeight="1">
      <c r="A990" s="3" t="str">
        <f>"10522018022701451882119"</f>
        <v>10522018022701451882119</v>
      </c>
      <c r="B990" s="8" t="s">
        <v>31</v>
      </c>
      <c r="C990" s="9" t="str">
        <f t="shared" si="74"/>
        <v>女</v>
      </c>
      <c r="D990" s="9" t="str">
        <f>"341223199511270324"</f>
        <v>341223199511270324</v>
      </c>
      <c r="E990" s="14" t="str">
        <f t="shared" si="75"/>
        <v>护理</v>
      </c>
      <c r="F990" s="9" t="str">
        <f>"2018012822"</f>
        <v>2018012822</v>
      </c>
      <c r="G990" s="9">
        <v>53.5</v>
      </c>
      <c r="H990" s="9">
        <v>86</v>
      </c>
      <c r="I990" s="9">
        <f t="shared" si="73"/>
        <v>76.25</v>
      </c>
      <c r="J990" s="9"/>
      <c r="K990" s="3">
        <v>28</v>
      </c>
      <c r="L990" s="3">
        <v>22</v>
      </c>
    </row>
    <row r="991" spans="1:12" ht="18.75" customHeight="1">
      <c r="A991" s="3" t="str">
        <f>"10522018022813121882583"</f>
        <v>10522018022813121882583</v>
      </c>
      <c r="B991" s="8" t="s">
        <v>31</v>
      </c>
      <c r="C991" s="9" t="str">
        <f t="shared" si="74"/>
        <v>女</v>
      </c>
      <c r="D991" s="9" t="str">
        <f>"341623199301082642"</f>
        <v>341623199301082642</v>
      </c>
      <c r="E991" s="14" t="str">
        <f t="shared" si="75"/>
        <v>护理</v>
      </c>
      <c r="F991" s="9" t="str">
        <f>"2018013223"</f>
        <v>2018013223</v>
      </c>
      <c r="G991" s="9">
        <v>41.5</v>
      </c>
      <c r="H991" s="9">
        <v>91</v>
      </c>
      <c r="I991" s="9">
        <f t="shared" si="73"/>
        <v>76.149999999999991</v>
      </c>
      <c r="J991" s="9"/>
      <c r="K991" s="3">
        <v>32</v>
      </c>
      <c r="L991" s="3">
        <v>23</v>
      </c>
    </row>
    <row r="992" spans="1:12" ht="18.75" customHeight="1">
      <c r="A992" s="3" t="str">
        <f>"10522018022609313781615"</f>
        <v>10522018022609313781615</v>
      </c>
      <c r="B992" s="8" t="s">
        <v>31</v>
      </c>
      <c r="C992" s="9" t="str">
        <f t="shared" si="74"/>
        <v>女</v>
      </c>
      <c r="D992" s="9" t="str">
        <f>"341223199302174168"</f>
        <v>341223199302174168</v>
      </c>
      <c r="E992" s="14" t="str">
        <f t="shared" si="75"/>
        <v>护理</v>
      </c>
      <c r="F992" s="9" t="str">
        <f>"2018012716"</f>
        <v>2018012716</v>
      </c>
      <c r="G992" s="9">
        <v>43.5</v>
      </c>
      <c r="H992" s="9">
        <v>90</v>
      </c>
      <c r="I992" s="9">
        <f t="shared" si="73"/>
        <v>76.05</v>
      </c>
      <c r="J992" s="9"/>
      <c r="K992" s="3">
        <v>27</v>
      </c>
      <c r="L992" s="3">
        <v>16</v>
      </c>
    </row>
    <row r="993" spans="1:12" ht="18.75" customHeight="1">
      <c r="A993" s="3" t="str">
        <f>"10522018022623240582114"</f>
        <v>10522018022623240582114</v>
      </c>
      <c r="B993" s="8" t="s">
        <v>31</v>
      </c>
      <c r="C993" s="9" t="str">
        <f t="shared" si="74"/>
        <v>女</v>
      </c>
      <c r="D993" s="9" t="str">
        <f>"341223199501161327"</f>
        <v>341223199501161327</v>
      </c>
      <c r="E993" s="14" t="str">
        <f t="shared" si="75"/>
        <v>护理</v>
      </c>
      <c r="F993" s="9" t="str">
        <f>"2018012902"</f>
        <v>2018012902</v>
      </c>
      <c r="G993" s="9">
        <v>41</v>
      </c>
      <c r="H993" s="9">
        <v>91</v>
      </c>
      <c r="I993" s="9">
        <f t="shared" si="73"/>
        <v>76</v>
      </c>
      <c r="J993" s="9"/>
      <c r="K993" s="3">
        <v>29</v>
      </c>
      <c r="L993" s="3">
        <v>2</v>
      </c>
    </row>
    <row r="994" spans="1:12" ht="18.75" customHeight="1">
      <c r="A994" s="3" t="str">
        <f>"10522018022710085982164"</f>
        <v>10522018022710085982164</v>
      </c>
      <c r="B994" s="8" t="s">
        <v>31</v>
      </c>
      <c r="C994" s="9" t="str">
        <f t="shared" si="74"/>
        <v>女</v>
      </c>
      <c r="D994" s="9" t="str">
        <f>"341621199404225324"</f>
        <v>341621199404225324</v>
      </c>
      <c r="E994" s="14" t="str">
        <f t="shared" si="75"/>
        <v>护理</v>
      </c>
      <c r="F994" s="9" t="str">
        <f>"2018013226"</f>
        <v>2018013226</v>
      </c>
      <c r="G994" s="9">
        <v>34</v>
      </c>
      <c r="H994" s="9">
        <v>94</v>
      </c>
      <c r="I994" s="9">
        <f t="shared" si="73"/>
        <v>76</v>
      </c>
      <c r="J994" s="9"/>
      <c r="K994" s="3">
        <v>32</v>
      </c>
      <c r="L994" s="3">
        <v>26</v>
      </c>
    </row>
    <row r="995" spans="1:12" ht="18.75" customHeight="1">
      <c r="A995" s="3" t="str">
        <f>"10522018022616423781964"</f>
        <v>10522018022616423781964</v>
      </c>
      <c r="B995" s="8" t="s">
        <v>31</v>
      </c>
      <c r="C995" s="9" t="str">
        <f t="shared" si="74"/>
        <v>女</v>
      </c>
      <c r="D995" s="9" t="str">
        <f>"341623199401208329"</f>
        <v>341623199401208329</v>
      </c>
      <c r="E995" s="14" t="str">
        <f t="shared" si="75"/>
        <v>护理</v>
      </c>
      <c r="F995" s="9" t="str">
        <f>"2018013203"</f>
        <v>2018013203</v>
      </c>
      <c r="G995" s="9">
        <v>45</v>
      </c>
      <c r="H995" s="9">
        <v>89</v>
      </c>
      <c r="I995" s="9">
        <f t="shared" si="73"/>
        <v>75.8</v>
      </c>
      <c r="J995" s="9"/>
      <c r="K995" s="3">
        <v>32</v>
      </c>
      <c r="L995" s="3">
        <v>3</v>
      </c>
    </row>
    <row r="996" spans="1:12" ht="18.75" customHeight="1">
      <c r="A996" s="3" t="str">
        <f>"10522018022811072682534"</f>
        <v>10522018022811072682534</v>
      </c>
      <c r="B996" s="8" t="s">
        <v>31</v>
      </c>
      <c r="C996" s="9" t="str">
        <f t="shared" si="74"/>
        <v>女</v>
      </c>
      <c r="D996" s="9" t="str">
        <f>"341281199501250462"</f>
        <v>341281199501250462</v>
      </c>
      <c r="E996" s="14" t="str">
        <f t="shared" si="75"/>
        <v>护理</v>
      </c>
      <c r="F996" s="9" t="str">
        <f>"2018012420"</f>
        <v>2018012420</v>
      </c>
      <c r="G996" s="9">
        <v>47</v>
      </c>
      <c r="H996" s="9">
        <v>88</v>
      </c>
      <c r="I996" s="9">
        <f t="shared" si="73"/>
        <v>75.699999999999989</v>
      </c>
      <c r="J996" s="9"/>
      <c r="K996" s="3">
        <v>24</v>
      </c>
      <c r="L996" s="3">
        <v>20</v>
      </c>
    </row>
    <row r="997" spans="1:12" ht="18.75" customHeight="1">
      <c r="A997" s="3" t="str">
        <f>"10522018030100040982775"</f>
        <v>10522018030100040982775</v>
      </c>
      <c r="B997" s="8" t="s">
        <v>31</v>
      </c>
      <c r="C997" s="9" t="str">
        <f t="shared" si="74"/>
        <v>女</v>
      </c>
      <c r="D997" s="9" t="str">
        <f>"341223199509054526"</f>
        <v>341223199509054526</v>
      </c>
      <c r="E997" s="14" t="str">
        <f t="shared" si="75"/>
        <v>护理</v>
      </c>
      <c r="F997" s="9" t="str">
        <f>"2018012721"</f>
        <v>2018012721</v>
      </c>
      <c r="G997" s="9">
        <v>40</v>
      </c>
      <c r="H997" s="9">
        <v>91</v>
      </c>
      <c r="I997" s="9">
        <f t="shared" si="73"/>
        <v>75.699999999999989</v>
      </c>
      <c r="J997" s="9"/>
      <c r="K997" s="3">
        <v>27</v>
      </c>
      <c r="L997" s="3">
        <v>21</v>
      </c>
    </row>
    <row r="998" spans="1:12" ht="18.75" customHeight="1">
      <c r="A998" s="3" t="str">
        <f>"10522018030121475783037"</f>
        <v>10522018030121475783037</v>
      </c>
      <c r="B998" s="8" t="s">
        <v>31</v>
      </c>
      <c r="C998" s="9" t="str">
        <f t="shared" si="74"/>
        <v>女</v>
      </c>
      <c r="D998" s="9" t="str">
        <f>"341223199504200221"</f>
        <v>341223199504200221</v>
      </c>
      <c r="E998" s="14" t="str">
        <f t="shared" si="75"/>
        <v>护理</v>
      </c>
      <c r="F998" s="9" t="str">
        <f>"2018012515"</f>
        <v>2018012515</v>
      </c>
      <c r="G998" s="9">
        <v>37.5</v>
      </c>
      <c r="H998" s="9">
        <v>92</v>
      </c>
      <c r="I998" s="9">
        <f t="shared" si="73"/>
        <v>75.649999999999991</v>
      </c>
      <c r="J998" s="9"/>
      <c r="K998" s="3">
        <v>25</v>
      </c>
      <c r="L998" s="3">
        <v>15</v>
      </c>
    </row>
    <row r="999" spans="1:12" ht="18.75" customHeight="1">
      <c r="A999" s="3" t="str">
        <f>"10522018030116360482959"</f>
        <v>10522018030116360482959</v>
      </c>
      <c r="B999" s="8" t="s">
        <v>31</v>
      </c>
      <c r="C999" s="9" t="str">
        <f t="shared" si="74"/>
        <v>女</v>
      </c>
      <c r="D999" s="9" t="str">
        <f>"341223199302210421"</f>
        <v>341223199302210421</v>
      </c>
      <c r="E999" s="14" t="str">
        <f t="shared" si="75"/>
        <v>护理</v>
      </c>
      <c r="F999" s="9" t="str">
        <f>"2018013108"</f>
        <v>2018013108</v>
      </c>
      <c r="G999" s="9">
        <v>56</v>
      </c>
      <c r="H999" s="9">
        <v>84</v>
      </c>
      <c r="I999" s="9">
        <f t="shared" si="73"/>
        <v>75.599999999999994</v>
      </c>
      <c r="J999" s="9"/>
      <c r="K999" s="3">
        <v>31</v>
      </c>
      <c r="L999" s="3">
        <v>8</v>
      </c>
    </row>
    <row r="1000" spans="1:12" ht="18.75" customHeight="1">
      <c r="A1000" s="3" t="str">
        <f>"10522018022816080482646"</f>
        <v>10522018022816080482646</v>
      </c>
      <c r="B1000" s="8" t="s">
        <v>31</v>
      </c>
      <c r="C1000" s="9" t="str">
        <f t="shared" si="74"/>
        <v>女</v>
      </c>
      <c r="D1000" s="9" t="str">
        <f>"341621199406181927"</f>
        <v>341621199406181927</v>
      </c>
      <c r="E1000" s="14" t="str">
        <f t="shared" si="75"/>
        <v>护理</v>
      </c>
      <c r="F1000" s="9" t="str">
        <f>"2018012427"</f>
        <v>2018012427</v>
      </c>
      <c r="G1000" s="9">
        <v>34.5</v>
      </c>
      <c r="H1000" s="9">
        <v>93</v>
      </c>
      <c r="I1000" s="9">
        <f t="shared" si="73"/>
        <v>75.449999999999989</v>
      </c>
      <c r="J1000" s="9"/>
      <c r="K1000" s="3">
        <v>24</v>
      </c>
      <c r="L1000" s="3">
        <v>27</v>
      </c>
    </row>
    <row r="1001" spans="1:12" ht="18.75" customHeight="1">
      <c r="A1001" s="3" t="str">
        <f>"10522018022618410882018"</f>
        <v>10522018022618410882018</v>
      </c>
      <c r="B1001" s="8" t="s">
        <v>31</v>
      </c>
      <c r="C1001" s="9" t="str">
        <f t="shared" si="74"/>
        <v>女</v>
      </c>
      <c r="D1001" s="9" t="str">
        <f>"34128119970207926X"</f>
        <v>34128119970207926X</v>
      </c>
      <c r="E1001" s="14" t="str">
        <f t="shared" si="75"/>
        <v>护理</v>
      </c>
      <c r="F1001" s="9" t="str">
        <f>"2018012430"</f>
        <v>2018012430</v>
      </c>
      <c r="G1001" s="9">
        <v>32</v>
      </c>
      <c r="H1001" s="9">
        <v>94</v>
      </c>
      <c r="I1001" s="9">
        <f t="shared" si="73"/>
        <v>75.399999999999991</v>
      </c>
      <c r="J1001" s="9"/>
      <c r="K1001" s="3">
        <v>24</v>
      </c>
      <c r="L1001" s="3">
        <v>30</v>
      </c>
    </row>
    <row r="1002" spans="1:12" ht="18.75" customHeight="1">
      <c r="A1002" s="3" t="str">
        <f>"10522018030109235182804"</f>
        <v>10522018030109235182804</v>
      </c>
      <c r="B1002" s="8" t="s">
        <v>31</v>
      </c>
      <c r="C1002" s="9" t="str">
        <f t="shared" si="74"/>
        <v>女</v>
      </c>
      <c r="D1002" s="9" t="str">
        <f>"341621199407143121"</f>
        <v>341621199407143121</v>
      </c>
      <c r="E1002" s="14" t="str">
        <f t="shared" si="75"/>
        <v>护理</v>
      </c>
      <c r="F1002" s="9" t="str">
        <f>"2018012616"</f>
        <v>2018012616</v>
      </c>
      <c r="G1002" s="9">
        <v>48</v>
      </c>
      <c r="H1002" s="9">
        <v>87</v>
      </c>
      <c r="I1002" s="9">
        <f t="shared" si="73"/>
        <v>75.3</v>
      </c>
      <c r="J1002" s="9"/>
      <c r="K1002" s="3">
        <v>26</v>
      </c>
      <c r="L1002" s="3">
        <v>16</v>
      </c>
    </row>
    <row r="1003" spans="1:12" ht="18.75" customHeight="1">
      <c r="A1003" s="3" t="str">
        <f>"10522018022611210781754"</f>
        <v>10522018022611210781754</v>
      </c>
      <c r="B1003" s="8" t="s">
        <v>31</v>
      </c>
      <c r="C1003" s="9" t="str">
        <f t="shared" si="74"/>
        <v>女</v>
      </c>
      <c r="D1003" s="9" t="str">
        <f>"341623199504280024"</f>
        <v>341623199504280024</v>
      </c>
      <c r="E1003" s="14" t="str">
        <f t="shared" si="75"/>
        <v>护理</v>
      </c>
      <c r="F1003" s="9" t="str">
        <f>"2018013127"</f>
        <v>2018013127</v>
      </c>
      <c r="G1003" s="9">
        <v>41</v>
      </c>
      <c r="H1003" s="9">
        <v>90</v>
      </c>
      <c r="I1003" s="9">
        <f t="shared" si="73"/>
        <v>75.3</v>
      </c>
      <c r="J1003" s="9"/>
      <c r="K1003" s="3">
        <v>31</v>
      </c>
      <c r="L1003" s="3">
        <v>27</v>
      </c>
    </row>
    <row r="1004" spans="1:12" ht="18.75" customHeight="1">
      <c r="A1004" s="3" t="str">
        <f>"10522018030207564883066"</f>
        <v>10522018030207564883066</v>
      </c>
      <c r="B1004" s="8" t="s">
        <v>31</v>
      </c>
      <c r="C1004" s="9" t="str">
        <f t="shared" si="74"/>
        <v>女</v>
      </c>
      <c r="D1004" s="9" t="str">
        <f>"341227199707043428"</f>
        <v>341227199707043428</v>
      </c>
      <c r="E1004" s="14" t="str">
        <f t="shared" si="75"/>
        <v>护理</v>
      </c>
      <c r="F1004" s="9" t="str">
        <f>"2018012417"</f>
        <v>2018012417</v>
      </c>
      <c r="G1004" s="9">
        <v>27</v>
      </c>
      <c r="H1004" s="9">
        <v>96</v>
      </c>
      <c r="I1004" s="9">
        <f t="shared" si="73"/>
        <v>75.299999999999983</v>
      </c>
      <c r="J1004" s="9"/>
      <c r="K1004" s="3">
        <v>24</v>
      </c>
      <c r="L1004" s="3">
        <v>17</v>
      </c>
    </row>
    <row r="1005" spans="1:12" ht="18.75" customHeight="1">
      <c r="A1005" s="3" t="str">
        <f>"10522018022814562482624"</f>
        <v>10522018022814562482624</v>
      </c>
      <c r="B1005" s="8" t="s">
        <v>31</v>
      </c>
      <c r="C1005" s="9" t="str">
        <f t="shared" si="74"/>
        <v>女</v>
      </c>
      <c r="D1005" s="9" t="str">
        <f>"341223199411051925"</f>
        <v>341223199411051925</v>
      </c>
      <c r="E1005" s="14" t="str">
        <f t="shared" si="75"/>
        <v>护理</v>
      </c>
      <c r="F1005" s="9" t="str">
        <f>"2018012524"</f>
        <v>2018012524</v>
      </c>
      <c r="G1005" s="9">
        <v>52.5</v>
      </c>
      <c r="H1005" s="9">
        <v>85</v>
      </c>
      <c r="I1005" s="9">
        <f t="shared" si="73"/>
        <v>75.25</v>
      </c>
      <c r="J1005" s="9"/>
      <c r="K1005" s="3">
        <v>25</v>
      </c>
      <c r="L1005" s="3">
        <v>24</v>
      </c>
    </row>
    <row r="1006" spans="1:12" ht="18.75" customHeight="1">
      <c r="A1006" s="3" t="str">
        <f>"10522018022810480782526"</f>
        <v>10522018022810480782526</v>
      </c>
      <c r="B1006" s="8" t="s">
        <v>31</v>
      </c>
      <c r="C1006" s="9" t="str">
        <f t="shared" si="74"/>
        <v>女</v>
      </c>
      <c r="D1006" s="9" t="str">
        <f>"34122419951228912X"</f>
        <v>34122419951228912X</v>
      </c>
      <c r="E1006" s="14" t="str">
        <f t="shared" si="75"/>
        <v>护理</v>
      </c>
      <c r="F1006" s="9" t="str">
        <f>"2018012516"</f>
        <v>2018012516</v>
      </c>
      <c r="G1006" s="9">
        <v>36</v>
      </c>
      <c r="H1006" s="9">
        <v>92</v>
      </c>
      <c r="I1006" s="9">
        <f t="shared" si="73"/>
        <v>75.199999999999989</v>
      </c>
      <c r="J1006" s="9"/>
      <c r="K1006" s="3">
        <v>25</v>
      </c>
      <c r="L1006" s="3">
        <v>16</v>
      </c>
    </row>
    <row r="1007" spans="1:12" ht="18.75" customHeight="1">
      <c r="A1007" s="3" t="str">
        <f>"10522018030117574782979"</f>
        <v>10522018030117574782979</v>
      </c>
      <c r="B1007" s="8" t="s">
        <v>31</v>
      </c>
      <c r="C1007" s="9" t="str">
        <f t="shared" si="74"/>
        <v>女</v>
      </c>
      <c r="D1007" s="9" t="str">
        <f>"341227199410294445"</f>
        <v>341227199410294445</v>
      </c>
      <c r="E1007" s="14" t="str">
        <f t="shared" si="75"/>
        <v>护理</v>
      </c>
      <c r="F1007" s="9" t="str">
        <f>"2018012410"</f>
        <v>2018012410</v>
      </c>
      <c r="G1007" s="9">
        <v>40</v>
      </c>
      <c r="H1007" s="9">
        <v>90</v>
      </c>
      <c r="I1007" s="9">
        <f t="shared" si="73"/>
        <v>75</v>
      </c>
      <c r="J1007" s="9"/>
      <c r="K1007" s="3">
        <v>24</v>
      </c>
      <c r="L1007" s="3">
        <v>10</v>
      </c>
    </row>
    <row r="1008" spans="1:12" ht="18.75" customHeight="1">
      <c r="A1008" s="3" t="str">
        <f>"10522018030209481583094"</f>
        <v>10522018030209481583094</v>
      </c>
      <c r="B1008" s="8" t="s">
        <v>31</v>
      </c>
      <c r="C1008" s="9" t="str">
        <f t="shared" si="74"/>
        <v>女</v>
      </c>
      <c r="D1008" s="9" t="str">
        <f>"341223199409210229"</f>
        <v>341223199409210229</v>
      </c>
      <c r="E1008" s="14" t="str">
        <f t="shared" si="75"/>
        <v>护理</v>
      </c>
      <c r="F1008" s="9" t="str">
        <f>"2018012502"</f>
        <v>2018012502</v>
      </c>
      <c r="G1008" s="9">
        <v>42</v>
      </c>
      <c r="H1008" s="9">
        <v>89</v>
      </c>
      <c r="I1008" s="9">
        <f t="shared" si="73"/>
        <v>74.899999999999991</v>
      </c>
      <c r="J1008" s="9"/>
      <c r="K1008" s="3">
        <v>25</v>
      </c>
      <c r="L1008" s="3">
        <v>2</v>
      </c>
    </row>
    <row r="1009" spans="1:12" ht="18.75" customHeight="1">
      <c r="A1009" s="3" t="str">
        <f>"10522018030111325982848"</f>
        <v>10522018030111325982848</v>
      </c>
      <c r="B1009" s="8" t="s">
        <v>31</v>
      </c>
      <c r="C1009" s="9" t="str">
        <f t="shared" si="74"/>
        <v>女</v>
      </c>
      <c r="D1009" s="9" t="str">
        <f>"341223199410010128"</f>
        <v>341223199410010128</v>
      </c>
      <c r="E1009" s="14" t="str">
        <f t="shared" si="75"/>
        <v>护理</v>
      </c>
      <c r="F1009" s="9" t="str">
        <f>"2018013124"</f>
        <v>2018013124</v>
      </c>
      <c r="G1009" s="9">
        <v>46.5</v>
      </c>
      <c r="H1009" s="9">
        <v>87</v>
      </c>
      <c r="I1009" s="9">
        <f t="shared" si="73"/>
        <v>74.849999999999994</v>
      </c>
      <c r="J1009" s="9"/>
      <c r="K1009" s="3">
        <v>31</v>
      </c>
      <c r="L1009" s="3">
        <v>24</v>
      </c>
    </row>
    <row r="1010" spans="1:12" ht="18.75" customHeight="1">
      <c r="A1010" s="3" t="str">
        <f>"10522018022808544182471"</f>
        <v>10522018022808544182471</v>
      </c>
      <c r="B1010" s="8" t="s">
        <v>31</v>
      </c>
      <c r="C1010" s="9" t="str">
        <f t="shared" si="74"/>
        <v>女</v>
      </c>
      <c r="D1010" s="9" t="str">
        <f>"341223199701011948"</f>
        <v>341223199701011948</v>
      </c>
      <c r="E1010" s="14" t="str">
        <f t="shared" si="75"/>
        <v>护理</v>
      </c>
      <c r="F1010" s="9" t="str">
        <f>"2018012808"</f>
        <v>2018012808</v>
      </c>
      <c r="G1010" s="9">
        <v>30</v>
      </c>
      <c r="H1010" s="9">
        <v>94</v>
      </c>
      <c r="I1010" s="9">
        <f t="shared" si="73"/>
        <v>74.8</v>
      </c>
      <c r="J1010" s="9"/>
      <c r="K1010" s="3">
        <v>28</v>
      </c>
      <c r="L1010" s="3">
        <v>8</v>
      </c>
    </row>
    <row r="1011" spans="1:12" ht="18.75" customHeight="1">
      <c r="A1011" s="3" t="str">
        <f>"10522018022621253182087"</f>
        <v>10522018022621253182087</v>
      </c>
      <c r="B1011" s="8" t="s">
        <v>31</v>
      </c>
      <c r="C1011" s="9" t="str">
        <f t="shared" si="74"/>
        <v>女</v>
      </c>
      <c r="D1011" s="9" t="str">
        <f>"341622199307250428"</f>
        <v>341622199307250428</v>
      </c>
      <c r="E1011" s="14" t="str">
        <f t="shared" si="75"/>
        <v>护理</v>
      </c>
      <c r="F1011" s="9" t="str">
        <f>"2018013027"</f>
        <v>2018013027</v>
      </c>
      <c r="G1011" s="9">
        <v>32</v>
      </c>
      <c r="H1011" s="9">
        <v>93</v>
      </c>
      <c r="I1011" s="9">
        <f t="shared" si="73"/>
        <v>74.699999999999989</v>
      </c>
      <c r="J1011" s="9"/>
      <c r="K1011" s="3">
        <v>30</v>
      </c>
      <c r="L1011" s="3">
        <v>27</v>
      </c>
    </row>
    <row r="1012" spans="1:12" ht="18.75" customHeight="1">
      <c r="A1012" s="3" t="str">
        <f>"10522018022611374181765"</f>
        <v>10522018022611374181765</v>
      </c>
      <c r="B1012" s="8" t="s">
        <v>31</v>
      </c>
      <c r="C1012" s="9" t="str">
        <f t="shared" si="74"/>
        <v>女</v>
      </c>
      <c r="D1012" s="9" t="str">
        <f>"34122319940611352X"</f>
        <v>34122319940611352X</v>
      </c>
      <c r="E1012" s="14" t="str">
        <f t="shared" si="75"/>
        <v>护理</v>
      </c>
      <c r="F1012" s="9" t="str">
        <f>"2018013822"</f>
        <v>2018013822</v>
      </c>
      <c r="G1012" s="9">
        <v>41</v>
      </c>
      <c r="H1012" s="9">
        <v>89</v>
      </c>
      <c r="I1012" s="9">
        <f t="shared" si="73"/>
        <v>74.599999999999994</v>
      </c>
      <c r="J1012" s="9"/>
      <c r="K1012" s="3">
        <v>38</v>
      </c>
      <c r="L1012" s="3">
        <v>22</v>
      </c>
    </row>
    <row r="1013" spans="1:12" ht="18.75" customHeight="1">
      <c r="A1013" s="3" t="str">
        <f>"10522018022810122782503"</f>
        <v>10522018022810122782503</v>
      </c>
      <c r="B1013" s="8" t="s">
        <v>31</v>
      </c>
      <c r="C1013" s="9" t="str">
        <f t="shared" si="74"/>
        <v>女</v>
      </c>
      <c r="D1013" s="9" t="str">
        <f>"341623199305083087"</f>
        <v>341623199305083087</v>
      </c>
      <c r="E1013" s="14" t="str">
        <f t="shared" si="75"/>
        <v>护理</v>
      </c>
      <c r="F1013" s="9" t="str">
        <f>"2018012810"</f>
        <v>2018012810</v>
      </c>
      <c r="G1013" s="9">
        <v>31.5</v>
      </c>
      <c r="H1013" s="9">
        <v>93</v>
      </c>
      <c r="I1013" s="9">
        <f t="shared" si="73"/>
        <v>74.55</v>
      </c>
      <c r="J1013" s="9"/>
      <c r="K1013" s="3">
        <v>28</v>
      </c>
      <c r="L1013" s="3">
        <v>10</v>
      </c>
    </row>
    <row r="1014" spans="1:12" ht="18.75" customHeight="1">
      <c r="A1014" s="3" t="str">
        <f>"10522018022808401882467"</f>
        <v>10522018022808401882467</v>
      </c>
      <c r="B1014" s="8" t="s">
        <v>31</v>
      </c>
      <c r="C1014" s="9" t="str">
        <f t="shared" si="74"/>
        <v>女</v>
      </c>
      <c r="D1014" s="9" t="str">
        <f>"341281199703102441"</f>
        <v>341281199703102441</v>
      </c>
      <c r="E1014" s="14" t="str">
        <f t="shared" si="75"/>
        <v>护理</v>
      </c>
      <c r="F1014" s="9" t="str">
        <f>"2018013107"</f>
        <v>2018013107</v>
      </c>
      <c r="G1014" s="9">
        <v>38</v>
      </c>
      <c r="H1014" s="9">
        <v>90</v>
      </c>
      <c r="I1014" s="9">
        <f t="shared" si="73"/>
        <v>74.399999999999991</v>
      </c>
      <c r="J1014" s="9"/>
      <c r="K1014" s="3">
        <v>31</v>
      </c>
      <c r="L1014" s="3">
        <v>7</v>
      </c>
    </row>
    <row r="1015" spans="1:12" ht="18.75" customHeight="1">
      <c r="A1015" s="3" t="str">
        <f>"10522018022818341282687"</f>
        <v>10522018022818341282687</v>
      </c>
      <c r="B1015" s="8" t="s">
        <v>31</v>
      </c>
      <c r="C1015" s="9" t="str">
        <f t="shared" si="74"/>
        <v>女</v>
      </c>
      <c r="D1015" s="9" t="str">
        <f>"341227199403013449"</f>
        <v>341227199403013449</v>
      </c>
      <c r="E1015" s="14" t="str">
        <f t="shared" si="75"/>
        <v>护理</v>
      </c>
      <c r="F1015" s="9" t="str">
        <f>"2018012717"</f>
        <v>2018012717</v>
      </c>
      <c r="G1015" s="9">
        <v>46.5</v>
      </c>
      <c r="H1015" s="9">
        <v>86</v>
      </c>
      <c r="I1015" s="9">
        <f t="shared" si="73"/>
        <v>74.149999999999991</v>
      </c>
      <c r="J1015" s="9"/>
      <c r="K1015" s="3">
        <v>27</v>
      </c>
      <c r="L1015" s="3">
        <v>17</v>
      </c>
    </row>
    <row r="1016" spans="1:12" ht="18.75" customHeight="1">
      <c r="A1016" s="3" t="str">
        <f>"10522018022713432582240"</f>
        <v>10522018022713432582240</v>
      </c>
      <c r="B1016" s="8" t="s">
        <v>31</v>
      </c>
      <c r="C1016" s="9" t="str">
        <f t="shared" si="74"/>
        <v>女</v>
      </c>
      <c r="D1016" s="9" t="str">
        <f>"341602199601107467"</f>
        <v>341602199601107467</v>
      </c>
      <c r="E1016" s="14" t="str">
        <f t="shared" si="75"/>
        <v>护理</v>
      </c>
      <c r="F1016" s="9" t="str">
        <f>"2018013206"</f>
        <v>2018013206</v>
      </c>
      <c r="G1016" s="9">
        <v>37</v>
      </c>
      <c r="H1016" s="9">
        <v>90</v>
      </c>
      <c r="I1016" s="9">
        <f t="shared" si="73"/>
        <v>74.099999999999994</v>
      </c>
      <c r="J1016" s="9"/>
      <c r="K1016" s="3">
        <v>32</v>
      </c>
      <c r="L1016" s="3">
        <v>6</v>
      </c>
    </row>
    <row r="1017" spans="1:12" ht="18.75" customHeight="1">
      <c r="A1017" s="3" t="str">
        <f>"10522018022708270882128"</f>
        <v>10522018022708270882128</v>
      </c>
      <c r="B1017" s="8" t="s">
        <v>31</v>
      </c>
      <c r="C1017" s="9" t="str">
        <f t="shared" si="74"/>
        <v>女</v>
      </c>
      <c r="D1017" s="9" t="str">
        <f>"341621199610022923"</f>
        <v>341621199610022923</v>
      </c>
      <c r="E1017" s="14" t="str">
        <f t="shared" si="75"/>
        <v>护理</v>
      </c>
      <c r="F1017" s="9" t="str">
        <f>"2018013015"</f>
        <v>2018013015</v>
      </c>
      <c r="G1017" s="9">
        <v>41.5</v>
      </c>
      <c r="H1017" s="9">
        <v>88</v>
      </c>
      <c r="I1017" s="9">
        <f t="shared" si="73"/>
        <v>74.05</v>
      </c>
      <c r="J1017" s="9"/>
      <c r="K1017" s="3">
        <v>30</v>
      </c>
      <c r="L1017" s="3">
        <v>15</v>
      </c>
    </row>
    <row r="1018" spans="1:12" ht="18.75" customHeight="1">
      <c r="A1018" s="3" t="str">
        <f>"10522018022614005681866"</f>
        <v>10522018022614005681866</v>
      </c>
      <c r="B1018" s="8" t="s">
        <v>31</v>
      </c>
      <c r="C1018" s="9" t="str">
        <f t="shared" si="74"/>
        <v>女</v>
      </c>
      <c r="D1018" s="9" t="str">
        <f>"341223199709122343"</f>
        <v>341223199709122343</v>
      </c>
      <c r="E1018" s="14" t="str">
        <f t="shared" si="75"/>
        <v>护理</v>
      </c>
      <c r="F1018" s="9" t="str">
        <f>"2018012408"</f>
        <v>2018012408</v>
      </c>
      <c r="G1018" s="9">
        <v>31.5</v>
      </c>
      <c r="H1018" s="9">
        <v>92</v>
      </c>
      <c r="I1018" s="9">
        <f t="shared" si="73"/>
        <v>73.849999999999994</v>
      </c>
      <c r="J1018" s="9"/>
      <c r="K1018" s="3">
        <v>24</v>
      </c>
      <c r="L1018" s="3">
        <v>8</v>
      </c>
    </row>
    <row r="1019" spans="1:12" ht="18.75" customHeight="1">
      <c r="A1019" s="3" t="str">
        <f>"10522018022818321882685"</f>
        <v>10522018022818321882685</v>
      </c>
      <c r="B1019" s="8" t="s">
        <v>31</v>
      </c>
      <c r="C1019" s="9" t="str">
        <f t="shared" si="74"/>
        <v>女</v>
      </c>
      <c r="D1019" s="9" t="str">
        <f>"341623199510119528"</f>
        <v>341623199510119528</v>
      </c>
      <c r="E1019" s="14" t="str">
        <f t="shared" si="75"/>
        <v>护理</v>
      </c>
      <c r="F1019" s="9" t="str">
        <f>"2018012625"</f>
        <v>2018012625</v>
      </c>
      <c r="G1019" s="9">
        <v>36</v>
      </c>
      <c r="H1019" s="9">
        <v>90</v>
      </c>
      <c r="I1019" s="9">
        <f t="shared" si="73"/>
        <v>73.8</v>
      </c>
      <c r="J1019" s="9"/>
      <c r="K1019" s="3">
        <v>26</v>
      </c>
      <c r="L1019" s="3">
        <v>25</v>
      </c>
    </row>
    <row r="1020" spans="1:12" ht="18.75" customHeight="1">
      <c r="A1020" s="3" t="str">
        <f>"10522018022719311882367"</f>
        <v>10522018022719311882367</v>
      </c>
      <c r="B1020" s="8" t="s">
        <v>31</v>
      </c>
      <c r="C1020" s="9" t="str">
        <f t="shared" si="74"/>
        <v>女</v>
      </c>
      <c r="D1020" s="9" t="str">
        <f>"341224199507184120"</f>
        <v>341224199507184120</v>
      </c>
      <c r="E1020" s="14" t="str">
        <f t="shared" si="75"/>
        <v>护理</v>
      </c>
      <c r="F1020" s="9" t="str">
        <f>"2018013011"</f>
        <v>2018013011</v>
      </c>
      <c r="G1020" s="9">
        <v>36</v>
      </c>
      <c r="H1020" s="9">
        <v>90</v>
      </c>
      <c r="I1020" s="9">
        <f t="shared" si="73"/>
        <v>73.8</v>
      </c>
      <c r="J1020" s="9"/>
      <c r="K1020" s="3">
        <v>30</v>
      </c>
      <c r="L1020" s="3">
        <v>11</v>
      </c>
    </row>
    <row r="1021" spans="1:12" ht="18.75" customHeight="1">
      <c r="A1021" s="3" t="str">
        <f>"10522018030108122282785"</f>
        <v>10522018030108122282785</v>
      </c>
      <c r="B1021" s="8" t="s">
        <v>31</v>
      </c>
      <c r="C1021" s="9" t="str">
        <f t="shared" si="74"/>
        <v>女</v>
      </c>
      <c r="D1021" s="9" t="str">
        <f>"341623199403278021"</f>
        <v>341623199403278021</v>
      </c>
      <c r="E1021" s="14" t="str">
        <f t="shared" si="75"/>
        <v>护理</v>
      </c>
      <c r="F1021" s="9" t="str">
        <f>"2018012602"</f>
        <v>2018012602</v>
      </c>
      <c r="G1021" s="9">
        <v>26.5</v>
      </c>
      <c r="H1021" s="9">
        <v>94</v>
      </c>
      <c r="I1021" s="9">
        <f t="shared" si="73"/>
        <v>73.75</v>
      </c>
      <c r="J1021" s="9"/>
      <c r="K1021" s="3">
        <v>26</v>
      </c>
      <c r="L1021" s="3">
        <v>2</v>
      </c>
    </row>
    <row r="1022" spans="1:12" ht="18.75" customHeight="1">
      <c r="A1022" s="3" t="str">
        <f>"10522018022611062581734"</f>
        <v>10522018022611062581734</v>
      </c>
      <c r="B1022" s="8" t="s">
        <v>31</v>
      </c>
      <c r="C1022" s="9" t="str">
        <f t="shared" si="74"/>
        <v>女</v>
      </c>
      <c r="D1022" s="9" t="str">
        <f>"341602199705164626"</f>
        <v>341602199705164626</v>
      </c>
      <c r="E1022" s="14" t="str">
        <f t="shared" si="75"/>
        <v>护理</v>
      </c>
      <c r="F1022" s="9" t="str">
        <f>"2018012814"</f>
        <v>2018012814</v>
      </c>
      <c r="G1022" s="9">
        <v>38</v>
      </c>
      <c r="H1022" s="9">
        <v>89</v>
      </c>
      <c r="I1022" s="9">
        <f t="shared" si="73"/>
        <v>73.7</v>
      </c>
      <c r="J1022" s="9"/>
      <c r="K1022" s="3">
        <v>28</v>
      </c>
      <c r="L1022" s="3">
        <v>14</v>
      </c>
    </row>
    <row r="1023" spans="1:12" ht="18.75" customHeight="1">
      <c r="A1023" s="3" t="str">
        <f>"10522018022820385182730"</f>
        <v>10522018022820385182730</v>
      </c>
      <c r="B1023" s="8" t="s">
        <v>31</v>
      </c>
      <c r="C1023" s="9" t="str">
        <f t="shared" si="74"/>
        <v>女</v>
      </c>
      <c r="D1023" s="9" t="str">
        <f>"341623199405174824"</f>
        <v>341623199405174824</v>
      </c>
      <c r="E1023" s="14" t="str">
        <f t="shared" si="75"/>
        <v>护理</v>
      </c>
      <c r="F1023" s="9" t="str">
        <f>"2018012727"</f>
        <v>2018012727</v>
      </c>
      <c r="G1023" s="9">
        <v>35</v>
      </c>
      <c r="H1023" s="9">
        <v>90</v>
      </c>
      <c r="I1023" s="9">
        <f t="shared" si="73"/>
        <v>73.5</v>
      </c>
      <c r="J1023" s="9"/>
      <c r="K1023" s="3">
        <v>27</v>
      </c>
      <c r="L1023" s="3">
        <v>27</v>
      </c>
    </row>
    <row r="1024" spans="1:12" ht="18.75" customHeight="1">
      <c r="A1024" s="3" t="str">
        <f>"10522018022621363982089"</f>
        <v>10522018022621363982089</v>
      </c>
      <c r="B1024" s="8" t="s">
        <v>31</v>
      </c>
      <c r="C1024" s="9" t="str">
        <f t="shared" si="74"/>
        <v>女</v>
      </c>
      <c r="D1024" s="9" t="str">
        <f>"341226199412270264"</f>
        <v>341226199412270264</v>
      </c>
      <c r="E1024" s="14" t="str">
        <f t="shared" si="75"/>
        <v>护理</v>
      </c>
      <c r="F1024" s="9" t="str">
        <f>"2018013225"</f>
        <v>2018013225</v>
      </c>
      <c r="G1024" s="9">
        <v>42</v>
      </c>
      <c r="H1024" s="9">
        <v>87</v>
      </c>
      <c r="I1024" s="9">
        <f t="shared" si="73"/>
        <v>73.5</v>
      </c>
      <c r="J1024" s="9"/>
      <c r="K1024" s="3">
        <v>32</v>
      </c>
      <c r="L1024" s="3">
        <v>25</v>
      </c>
    </row>
    <row r="1025" spans="1:12" ht="18.75" customHeight="1">
      <c r="A1025" s="3" t="str">
        <f>"10522018022612144781781"</f>
        <v>10522018022612144781781</v>
      </c>
      <c r="B1025" s="8" t="s">
        <v>31</v>
      </c>
      <c r="C1025" s="9" t="str">
        <f t="shared" si="74"/>
        <v>女</v>
      </c>
      <c r="D1025" s="9" t="str">
        <f>"341621199406031523"</f>
        <v>341621199406031523</v>
      </c>
      <c r="E1025" s="14" t="str">
        <f t="shared" si="75"/>
        <v>护理</v>
      </c>
      <c r="F1025" s="9" t="str">
        <f>"2018012621"</f>
        <v>2018012621</v>
      </c>
      <c r="G1025" s="9">
        <v>36.5</v>
      </c>
      <c r="H1025" s="9">
        <v>89</v>
      </c>
      <c r="I1025" s="9">
        <f t="shared" si="73"/>
        <v>73.25</v>
      </c>
      <c r="J1025" s="9"/>
      <c r="K1025" s="3">
        <v>26</v>
      </c>
      <c r="L1025" s="3">
        <v>21</v>
      </c>
    </row>
    <row r="1026" spans="1:12" ht="18.75" customHeight="1">
      <c r="A1026" s="3" t="str">
        <f>"10522018030119385783005"</f>
        <v>10522018030119385783005</v>
      </c>
      <c r="B1026" s="8" t="s">
        <v>31</v>
      </c>
      <c r="C1026" s="9" t="str">
        <f t="shared" si="74"/>
        <v>女</v>
      </c>
      <c r="D1026" s="9" t="str">
        <f>"341226199302165949"</f>
        <v>341226199302165949</v>
      </c>
      <c r="E1026" s="14" t="str">
        <f t="shared" si="75"/>
        <v>护理</v>
      </c>
      <c r="F1026" s="9" t="str">
        <f>"2018012701"</f>
        <v>2018012701</v>
      </c>
      <c r="G1026" s="9">
        <v>36.5</v>
      </c>
      <c r="H1026" s="9">
        <v>89</v>
      </c>
      <c r="I1026" s="9">
        <f t="shared" ref="I1026:I1089" si="76">G1026*0.3+H1026*0.7</f>
        <v>73.25</v>
      </c>
      <c r="J1026" s="9"/>
      <c r="K1026" s="3">
        <v>27</v>
      </c>
      <c r="L1026" s="3">
        <v>1</v>
      </c>
    </row>
    <row r="1027" spans="1:12" ht="18.75" customHeight="1">
      <c r="A1027" s="3" t="str">
        <f>"10522018022618384982015"</f>
        <v>10522018022618384982015</v>
      </c>
      <c r="B1027" s="8" t="s">
        <v>31</v>
      </c>
      <c r="C1027" s="9" t="str">
        <f t="shared" si="74"/>
        <v>女</v>
      </c>
      <c r="D1027" s="9" t="str">
        <f>"341204199402012642"</f>
        <v>341204199402012642</v>
      </c>
      <c r="E1027" s="14" t="str">
        <f t="shared" si="75"/>
        <v>护理</v>
      </c>
      <c r="F1027" s="9" t="str">
        <f>"2018012913"</f>
        <v>2018012913</v>
      </c>
      <c r="G1027" s="9">
        <v>29.5</v>
      </c>
      <c r="H1027" s="9">
        <v>92</v>
      </c>
      <c r="I1027" s="9">
        <f t="shared" si="76"/>
        <v>73.249999999999986</v>
      </c>
      <c r="J1027" s="9"/>
      <c r="K1027" s="3">
        <v>29</v>
      </c>
      <c r="L1027" s="3">
        <v>13</v>
      </c>
    </row>
    <row r="1028" spans="1:12" ht="18.75" customHeight="1">
      <c r="A1028" s="3" t="str">
        <f>"10522018022610310281681"</f>
        <v>10522018022610310281681</v>
      </c>
      <c r="B1028" s="8" t="s">
        <v>31</v>
      </c>
      <c r="C1028" s="9" t="str">
        <f t="shared" si="74"/>
        <v>女</v>
      </c>
      <c r="D1028" s="9" t="str">
        <f>"341621199310102120"</f>
        <v>341621199310102120</v>
      </c>
      <c r="E1028" s="14" t="str">
        <f t="shared" si="75"/>
        <v>护理</v>
      </c>
      <c r="F1028" s="9" t="str">
        <f>"2018012929"</f>
        <v>2018012929</v>
      </c>
      <c r="G1028" s="9">
        <v>50</v>
      </c>
      <c r="H1028" s="9">
        <v>83</v>
      </c>
      <c r="I1028" s="9">
        <f t="shared" si="76"/>
        <v>73.099999999999994</v>
      </c>
      <c r="J1028" s="9"/>
      <c r="K1028" s="3">
        <v>29</v>
      </c>
      <c r="L1028" s="3">
        <v>29</v>
      </c>
    </row>
    <row r="1029" spans="1:12" ht="18.75" customHeight="1">
      <c r="A1029" s="3" t="str">
        <f>"10522018022719394582375"</f>
        <v>10522018022719394582375</v>
      </c>
      <c r="B1029" s="8" t="s">
        <v>31</v>
      </c>
      <c r="C1029" s="9" t="str">
        <f t="shared" ref="C1029:C1092" si="77">"女"</f>
        <v>女</v>
      </c>
      <c r="D1029" s="9" t="str">
        <f>"340621199411128222"</f>
        <v>340621199411128222</v>
      </c>
      <c r="E1029" s="14" t="str">
        <f t="shared" ref="E1029:E1092" si="78">"护理"</f>
        <v>护理</v>
      </c>
      <c r="F1029" s="9" t="str">
        <f>"2018013102"</f>
        <v>2018013102</v>
      </c>
      <c r="G1029" s="9">
        <v>50</v>
      </c>
      <c r="H1029" s="9">
        <v>83</v>
      </c>
      <c r="I1029" s="9">
        <f t="shared" si="76"/>
        <v>73.099999999999994</v>
      </c>
      <c r="J1029" s="9"/>
      <c r="K1029" s="3">
        <v>31</v>
      </c>
      <c r="L1029" s="3">
        <v>2</v>
      </c>
    </row>
    <row r="1030" spans="1:12" ht="18.75" customHeight="1">
      <c r="A1030" s="3" t="str">
        <f>"10522018030112414382872"</f>
        <v>10522018030112414382872</v>
      </c>
      <c r="B1030" s="8" t="s">
        <v>31</v>
      </c>
      <c r="C1030" s="9" t="str">
        <f t="shared" si="77"/>
        <v>女</v>
      </c>
      <c r="D1030" s="9" t="str">
        <f>"34162119981108192X"</f>
        <v>34162119981108192X</v>
      </c>
      <c r="E1030" s="14" t="str">
        <f t="shared" si="78"/>
        <v>护理</v>
      </c>
      <c r="F1030" s="9" t="str">
        <f>"2018012624"</f>
        <v>2018012624</v>
      </c>
      <c r="G1030" s="9">
        <v>49.5</v>
      </c>
      <c r="H1030" s="9">
        <v>83</v>
      </c>
      <c r="I1030" s="9">
        <f t="shared" si="76"/>
        <v>72.949999999999989</v>
      </c>
      <c r="J1030" s="9"/>
      <c r="K1030" s="3">
        <v>26</v>
      </c>
      <c r="L1030" s="3">
        <v>24</v>
      </c>
    </row>
    <row r="1031" spans="1:12" ht="18.75" customHeight="1">
      <c r="A1031" s="3" t="str">
        <f>"10522018022609193481599"</f>
        <v>10522018022609193481599</v>
      </c>
      <c r="B1031" s="8" t="s">
        <v>31</v>
      </c>
      <c r="C1031" s="9" t="str">
        <f t="shared" si="77"/>
        <v>女</v>
      </c>
      <c r="D1031" s="9" t="str">
        <f>"34120219970515352X"</f>
        <v>34120219970515352X</v>
      </c>
      <c r="E1031" s="14" t="str">
        <f t="shared" si="78"/>
        <v>护理</v>
      </c>
      <c r="F1031" s="9" t="str">
        <f>"2018013019"</f>
        <v>2018013019</v>
      </c>
      <c r="G1031" s="9">
        <v>28.5</v>
      </c>
      <c r="H1031" s="9">
        <v>92</v>
      </c>
      <c r="I1031" s="9">
        <f t="shared" si="76"/>
        <v>72.949999999999989</v>
      </c>
      <c r="J1031" s="9"/>
      <c r="K1031" s="3">
        <v>30</v>
      </c>
      <c r="L1031" s="3">
        <v>19</v>
      </c>
    </row>
    <row r="1032" spans="1:12" ht="18.75" customHeight="1">
      <c r="A1032" s="3" t="str">
        <f>"10522018030108581882798"</f>
        <v>10522018030108581882798</v>
      </c>
      <c r="B1032" s="8" t="s">
        <v>31</v>
      </c>
      <c r="C1032" s="9" t="str">
        <f t="shared" si="77"/>
        <v>女</v>
      </c>
      <c r="D1032" s="9" t="str">
        <f>"341623199408082749"</f>
        <v>341623199408082749</v>
      </c>
      <c r="E1032" s="14" t="str">
        <f t="shared" si="78"/>
        <v>护理</v>
      </c>
      <c r="F1032" s="9" t="str">
        <f>"2018013002"</f>
        <v>2018013002</v>
      </c>
      <c r="G1032" s="9">
        <v>47</v>
      </c>
      <c r="H1032" s="9">
        <v>84</v>
      </c>
      <c r="I1032" s="9">
        <f t="shared" si="76"/>
        <v>72.899999999999991</v>
      </c>
      <c r="J1032" s="9"/>
      <c r="K1032" s="3">
        <v>30</v>
      </c>
      <c r="L1032" s="3">
        <v>2</v>
      </c>
    </row>
    <row r="1033" spans="1:12" ht="18.75" customHeight="1">
      <c r="A1033" s="3" t="str">
        <f>"10522018030112383582871"</f>
        <v>10522018030112383582871</v>
      </c>
      <c r="B1033" s="8" t="s">
        <v>31</v>
      </c>
      <c r="C1033" s="9" t="str">
        <f t="shared" si="77"/>
        <v>女</v>
      </c>
      <c r="D1033" s="9" t="str">
        <f>"341223199508044924"</f>
        <v>341223199508044924</v>
      </c>
      <c r="E1033" s="14" t="str">
        <f t="shared" si="78"/>
        <v>护理</v>
      </c>
      <c r="F1033" s="9" t="str">
        <f>"2018013110"</f>
        <v>2018013110</v>
      </c>
      <c r="G1033" s="9">
        <v>37.5</v>
      </c>
      <c r="H1033" s="9">
        <v>88</v>
      </c>
      <c r="I1033" s="9">
        <f t="shared" si="76"/>
        <v>72.849999999999994</v>
      </c>
      <c r="J1033" s="9"/>
      <c r="K1033" s="3">
        <v>31</v>
      </c>
      <c r="L1033" s="3">
        <v>10</v>
      </c>
    </row>
    <row r="1034" spans="1:12" ht="18.75" customHeight="1">
      <c r="A1034" s="3" t="str">
        <f>"10522018030122173483045"</f>
        <v>10522018030122173483045</v>
      </c>
      <c r="B1034" s="8" t="s">
        <v>31</v>
      </c>
      <c r="C1034" s="9" t="str">
        <f t="shared" si="77"/>
        <v>女</v>
      </c>
      <c r="D1034" s="9" t="str">
        <f>"341223199302071783"</f>
        <v>341223199302071783</v>
      </c>
      <c r="E1034" s="14" t="str">
        <f t="shared" si="78"/>
        <v>护理</v>
      </c>
      <c r="F1034" s="9" t="str">
        <f>"2018012405"</f>
        <v>2018012405</v>
      </c>
      <c r="G1034" s="9">
        <v>42</v>
      </c>
      <c r="H1034" s="9">
        <v>86</v>
      </c>
      <c r="I1034" s="9">
        <f t="shared" si="76"/>
        <v>72.8</v>
      </c>
      <c r="J1034" s="9"/>
      <c r="K1034" s="3">
        <v>24</v>
      </c>
      <c r="L1034" s="3">
        <v>5</v>
      </c>
    </row>
    <row r="1035" spans="1:12" ht="18.75" customHeight="1">
      <c r="A1035" s="3" t="str">
        <f>"10522018022721134882415"</f>
        <v>10522018022721134882415</v>
      </c>
      <c r="B1035" s="8" t="s">
        <v>31</v>
      </c>
      <c r="C1035" s="9" t="str">
        <f t="shared" si="77"/>
        <v>女</v>
      </c>
      <c r="D1035" s="9" t="str">
        <f>"411481199402267225"</f>
        <v>411481199402267225</v>
      </c>
      <c r="E1035" s="14" t="str">
        <f t="shared" si="78"/>
        <v>护理</v>
      </c>
      <c r="F1035" s="9" t="str">
        <f>"2018012910"</f>
        <v>2018012910</v>
      </c>
      <c r="G1035" s="9">
        <v>42</v>
      </c>
      <c r="H1035" s="9">
        <v>86</v>
      </c>
      <c r="I1035" s="9">
        <f t="shared" si="76"/>
        <v>72.8</v>
      </c>
      <c r="J1035" s="9"/>
      <c r="K1035" s="3">
        <v>29</v>
      </c>
      <c r="L1035" s="3">
        <v>10</v>
      </c>
    </row>
    <row r="1036" spans="1:12" ht="18.75" customHeight="1">
      <c r="A1036" s="3" t="str">
        <f>"10522018022717322582316"</f>
        <v>10522018022717322582316</v>
      </c>
      <c r="B1036" s="8" t="s">
        <v>31</v>
      </c>
      <c r="C1036" s="9" t="str">
        <f t="shared" si="77"/>
        <v>女</v>
      </c>
      <c r="D1036" s="9" t="str">
        <f>"341226199305103241"</f>
        <v>341226199305103241</v>
      </c>
      <c r="E1036" s="14" t="str">
        <f t="shared" si="78"/>
        <v>护理</v>
      </c>
      <c r="F1036" s="9" t="str">
        <f>"2018012529"</f>
        <v>2018012529</v>
      </c>
      <c r="G1036" s="9">
        <v>34.5</v>
      </c>
      <c r="H1036" s="9">
        <v>89</v>
      </c>
      <c r="I1036" s="9">
        <f t="shared" si="76"/>
        <v>72.649999999999991</v>
      </c>
      <c r="J1036" s="9"/>
      <c r="K1036" s="3">
        <v>25</v>
      </c>
      <c r="L1036" s="3">
        <v>29</v>
      </c>
    </row>
    <row r="1037" spans="1:12" ht="18.75" customHeight="1">
      <c r="A1037" s="3" t="str">
        <f>"10522018022809195282482"</f>
        <v>10522018022809195282482</v>
      </c>
      <c r="B1037" s="8" t="s">
        <v>31</v>
      </c>
      <c r="C1037" s="9" t="str">
        <f t="shared" si="77"/>
        <v>女</v>
      </c>
      <c r="D1037" s="9" t="str">
        <f>"341224199511051347"</f>
        <v>341224199511051347</v>
      </c>
      <c r="E1037" s="14" t="str">
        <f t="shared" si="78"/>
        <v>护理</v>
      </c>
      <c r="F1037" s="9" t="str">
        <f>"2018013212"</f>
        <v>2018013212</v>
      </c>
      <c r="G1037" s="9">
        <v>34.5</v>
      </c>
      <c r="H1037" s="9">
        <v>89</v>
      </c>
      <c r="I1037" s="9">
        <f t="shared" si="76"/>
        <v>72.649999999999991</v>
      </c>
      <c r="J1037" s="9"/>
      <c r="K1037" s="3">
        <v>32</v>
      </c>
      <c r="L1037" s="3">
        <v>12</v>
      </c>
    </row>
    <row r="1038" spans="1:12" ht="18.75" customHeight="1">
      <c r="A1038" s="3" t="str">
        <f>"10522018030116314582956"</f>
        <v>10522018030116314582956</v>
      </c>
      <c r="B1038" s="8" t="s">
        <v>31</v>
      </c>
      <c r="C1038" s="9" t="str">
        <f t="shared" si="77"/>
        <v>女</v>
      </c>
      <c r="D1038" s="9" t="str">
        <f>"341224199508100224"</f>
        <v>341224199508100224</v>
      </c>
      <c r="E1038" s="14" t="str">
        <f t="shared" si="78"/>
        <v>护理</v>
      </c>
      <c r="F1038" s="9" t="str">
        <f>"2018012623"</f>
        <v>2018012623</v>
      </c>
      <c r="G1038" s="9">
        <v>34</v>
      </c>
      <c r="H1038" s="9">
        <v>89</v>
      </c>
      <c r="I1038" s="9">
        <f t="shared" si="76"/>
        <v>72.5</v>
      </c>
      <c r="J1038" s="9"/>
      <c r="K1038" s="3">
        <v>26</v>
      </c>
      <c r="L1038" s="3">
        <v>23</v>
      </c>
    </row>
    <row r="1039" spans="1:12" ht="18.75" customHeight="1">
      <c r="A1039" s="3" t="str">
        <f>"10522018030114565282922"</f>
        <v>10522018030114565282922</v>
      </c>
      <c r="B1039" s="8" t="s">
        <v>31</v>
      </c>
      <c r="C1039" s="9" t="str">
        <f t="shared" si="77"/>
        <v>女</v>
      </c>
      <c r="D1039" s="9" t="str">
        <f>"341223199411214325"</f>
        <v>341223199411214325</v>
      </c>
      <c r="E1039" s="14" t="str">
        <f t="shared" si="78"/>
        <v>护理</v>
      </c>
      <c r="F1039" s="9" t="str">
        <f>"2018012615"</f>
        <v>2018012615</v>
      </c>
      <c r="G1039" s="9">
        <v>38.5</v>
      </c>
      <c r="H1039" s="9">
        <v>87</v>
      </c>
      <c r="I1039" s="9">
        <f t="shared" si="76"/>
        <v>72.45</v>
      </c>
      <c r="J1039" s="9"/>
      <c r="K1039" s="3">
        <v>26</v>
      </c>
      <c r="L1039" s="3">
        <v>15</v>
      </c>
    </row>
    <row r="1040" spans="1:12" ht="18.75" customHeight="1">
      <c r="A1040" s="3" t="str">
        <f>"10522018022815283782634"</f>
        <v>10522018022815283782634</v>
      </c>
      <c r="B1040" s="8" t="s">
        <v>31</v>
      </c>
      <c r="C1040" s="9" t="str">
        <f t="shared" si="77"/>
        <v>女</v>
      </c>
      <c r="D1040" s="9" t="str">
        <f>"34122319950816474X"</f>
        <v>34122319950816474X</v>
      </c>
      <c r="E1040" s="14" t="str">
        <f t="shared" si="78"/>
        <v>护理</v>
      </c>
      <c r="F1040" s="9" t="str">
        <f>"2018012619"</f>
        <v>2018012619</v>
      </c>
      <c r="G1040" s="9">
        <v>52.5</v>
      </c>
      <c r="H1040" s="9">
        <v>81</v>
      </c>
      <c r="I1040" s="9">
        <f t="shared" si="76"/>
        <v>72.449999999999989</v>
      </c>
      <c r="J1040" s="9"/>
      <c r="K1040" s="3">
        <v>26</v>
      </c>
      <c r="L1040" s="3">
        <v>19</v>
      </c>
    </row>
    <row r="1041" spans="1:12" ht="18.75" customHeight="1">
      <c r="A1041" s="3" t="str">
        <f>"10522018022811094582536"</f>
        <v>10522018022811094582536</v>
      </c>
      <c r="B1041" s="8" t="s">
        <v>31</v>
      </c>
      <c r="C1041" s="9" t="str">
        <f t="shared" si="77"/>
        <v>女</v>
      </c>
      <c r="D1041" s="9" t="str">
        <f>"34122319930607560X"</f>
        <v>34122319930607560X</v>
      </c>
      <c r="E1041" s="14" t="str">
        <f t="shared" si="78"/>
        <v>护理</v>
      </c>
      <c r="F1041" s="9" t="str">
        <f>"2018012505"</f>
        <v>2018012505</v>
      </c>
      <c r="G1041" s="9">
        <v>54.5</v>
      </c>
      <c r="H1041" s="9">
        <v>80</v>
      </c>
      <c r="I1041" s="9">
        <f t="shared" si="76"/>
        <v>72.349999999999994</v>
      </c>
      <c r="J1041" s="9"/>
      <c r="K1041" s="3">
        <v>25</v>
      </c>
      <c r="L1041" s="3">
        <v>5</v>
      </c>
    </row>
    <row r="1042" spans="1:12" ht="18.75" customHeight="1">
      <c r="A1042" s="3" t="str">
        <f>"10522018022809141582478"</f>
        <v>10522018022809141582478</v>
      </c>
      <c r="B1042" s="8" t="s">
        <v>31</v>
      </c>
      <c r="C1042" s="9" t="str">
        <f t="shared" si="77"/>
        <v>女</v>
      </c>
      <c r="D1042" s="9" t="str">
        <f>"34122419930303872X"</f>
        <v>34122419930303872X</v>
      </c>
      <c r="E1042" s="14" t="str">
        <f t="shared" si="78"/>
        <v>护理</v>
      </c>
      <c r="F1042" s="9" t="str">
        <f>"2018012608"</f>
        <v>2018012608</v>
      </c>
      <c r="G1042" s="9">
        <v>44.5</v>
      </c>
      <c r="H1042" s="9">
        <v>84</v>
      </c>
      <c r="I1042" s="9">
        <f t="shared" si="76"/>
        <v>72.149999999999991</v>
      </c>
      <c r="J1042" s="9"/>
      <c r="K1042" s="3">
        <v>26</v>
      </c>
      <c r="L1042" s="3">
        <v>8</v>
      </c>
    </row>
    <row r="1043" spans="1:12" ht="18.75" customHeight="1">
      <c r="A1043" s="3" t="str">
        <f>"10522018030118214182987"</f>
        <v>10522018030118214182987</v>
      </c>
      <c r="B1043" s="8" t="s">
        <v>31</v>
      </c>
      <c r="C1043" s="9" t="str">
        <f t="shared" si="77"/>
        <v>女</v>
      </c>
      <c r="D1043" s="9" t="str">
        <f>"34162119950301272X"</f>
        <v>34162119950301272X</v>
      </c>
      <c r="E1043" s="14" t="str">
        <f t="shared" si="78"/>
        <v>护理</v>
      </c>
      <c r="F1043" s="9" t="str">
        <f>"2018013104"</f>
        <v>2018013104</v>
      </c>
      <c r="G1043" s="9">
        <v>44.5</v>
      </c>
      <c r="H1043" s="9">
        <v>84</v>
      </c>
      <c r="I1043" s="9">
        <f t="shared" si="76"/>
        <v>72.149999999999991</v>
      </c>
      <c r="J1043" s="9"/>
      <c r="K1043" s="3">
        <v>31</v>
      </c>
      <c r="L1043" s="3">
        <v>4</v>
      </c>
    </row>
    <row r="1044" spans="1:12" ht="18.75" customHeight="1">
      <c r="A1044" s="3" t="str">
        <f>"10522018030113585382904"</f>
        <v>10522018030113585382904</v>
      </c>
      <c r="B1044" s="8" t="s">
        <v>31</v>
      </c>
      <c r="C1044" s="9" t="str">
        <f t="shared" si="77"/>
        <v>女</v>
      </c>
      <c r="D1044" s="9" t="str">
        <f>"341621199309280720"</f>
        <v>341621199309280720</v>
      </c>
      <c r="E1044" s="14" t="str">
        <f t="shared" si="78"/>
        <v>护理</v>
      </c>
      <c r="F1044" s="9" t="str">
        <f>"2018012424"</f>
        <v>2018012424</v>
      </c>
      <c r="G1044" s="9">
        <v>39.5</v>
      </c>
      <c r="H1044" s="9">
        <v>86</v>
      </c>
      <c r="I1044" s="9">
        <f t="shared" si="76"/>
        <v>72.05</v>
      </c>
      <c r="J1044" s="9"/>
      <c r="K1044" s="3">
        <v>24</v>
      </c>
      <c r="L1044" s="3">
        <v>24</v>
      </c>
    </row>
    <row r="1045" spans="1:12" ht="18.75" customHeight="1">
      <c r="A1045" s="3" t="str">
        <f>"10522018030110123482818"</f>
        <v>10522018030110123482818</v>
      </c>
      <c r="B1045" s="8" t="s">
        <v>31</v>
      </c>
      <c r="C1045" s="9" t="str">
        <f t="shared" si="77"/>
        <v>女</v>
      </c>
      <c r="D1045" s="9" t="str">
        <f>"341621199405163524"</f>
        <v>341621199405163524</v>
      </c>
      <c r="E1045" s="14" t="str">
        <f t="shared" si="78"/>
        <v>护理</v>
      </c>
      <c r="F1045" s="9" t="str">
        <f>"2018012818"</f>
        <v>2018012818</v>
      </c>
      <c r="G1045" s="9">
        <v>37</v>
      </c>
      <c r="H1045" s="9">
        <v>87</v>
      </c>
      <c r="I1045" s="9">
        <f t="shared" si="76"/>
        <v>72</v>
      </c>
      <c r="J1045" s="9"/>
      <c r="K1045" s="3">
        <v>28</v>
      </c>
      <c r="L1045" s="3">
        <v>18</v>
      </c>
    </row>
    <row r="1046" spans="1:12" ht="18.75" customHeight="1">
      <c r="A1046" s="3" t="str">
        <f>"10522018022708351682131"</f>
        <v>10522018022708351682131</v>
      </c>
      <c r="B1046" s="8" t="s">
        <v>31</v>
      </c>
      <c r="C1046" s="9" t="str">
        <f t="shared" si="77"/>
        <v>女</v>
      </c>
      <c r="D1046" s="9" t="str">
        <f>"341223199601143329"</f>
        <v>341223199601143329</v>
      </c>
      <c r="E1046" s="14" t="str">
        <f t="shared" si="78"/>
        <v>护理</v>
      </c>
      <c r="F1046" s="9" t="str">
        <f>"2018012409"</f>
        <v>2018012409</v>
      </c>
      <c r="G1046" s="9">
        <v>32</v>
      </c>
      <c r="H1046" s="9">
        <v>89</v>
      </c>
      <c r="I1046" s="9">
        <f t="shared" si="76"/>
        <v>71.899999999999991</v>
      </c>
      <c r="J1046" s="9"/>
      <c r="K1046" s="3">
        <v>24</v>
      </c>
      <c r="L1046" s="3">
        <v>9</v>
      </c>
    </row>
    <row r="1047" spans="1:12" ht="18.75" customHeight="1">
      <c r="A1047" s="3" t="str">
        <f>"10522018022612395781802"</f>
        <v>10522018022612395781802</v>
      </c>
      <c r="B1047" s="8" t="s">
        <v>31</v>
      </c>
      <c r="C1047" s="9" t="str">
        <f t="shared" si="77"/>
        <v>女</v>
      </c>
      <c r="D1047" s="9" t="str">
        <f>"34122319950829312X"</f>
        <v>34122319950829312X</v>
      </c>
      <c r="E1047" s="14" t="str">
        <f t="shared" si="78"/>
        <v>护理</v>
      </c>
      <c r="F1047" s="9" t="str">
        <f>"2018013009"</f>
        <v>2018013009</v>
      </c>
      <c r="G1047" s="9">
        <v>50.5</v>
      </c>
      <c r="H1047" s="9">
        <v>81</v>
      </c>
      <c r="I1047" s="9">
        <f t="shared" si="76"/>
        <v>71.849999999999994</v>
      </c>
      <c r="J1047" s="9"/>
      <c r="K1047" s="3">
        <v>30</v>
      </c>
      <c r="L1047" s="3">
        <v>9</v>
      </c>
    </row>
    <row r="1048" spans="1:12" ht="18.75" customHeight="1">
      <c r="A1048" s="3" t="str">
        <f>"10522018030108050082783"</f>
        <v>10522018030108050082783</v>
      </c>
      <c r="B1048" s="8" t="s">
        <v>31</v>
      </c>
      <c r="C1048" s="9" t="str">
        <f t="shared" si="77"/>
        <v>女</v>
      </c>
      <c r="D1048" s="9" t="str">
        <f>"341621199602205148"</f>
        <v>341621199602205148</v>
      </c>
      <c r="E1048" s="14" t="str">
        <f t="shared" si="78"/>
        <v>护理</v>
      </c>
      <c r="F1048" s="9" t="str">
        <f>"2018013119"</f>
        <v>2018013119</v>
      </c>
      <c r="G1048" s="9">
        <v>55</v>
      </c>
      <c r="H1048" s="9">
        <v>79</v>
      </c>
      <c r="I1048" s="9">
        <f t="shared" si="76"/>
        <v>71.8</v>
      </c>
      <c r="J1048" s="9"/>
      <c r="K1048" s="3">
        <v>31</v>
      </c>
      <c r="L1048" s="3">
        <v>19</v>
      </c>
    </row>
    <row r="1049" spans="1:12" ht="18.75" customHeight="1">
      <c r="A1049" s="3" t="str">
        <f>"10522018022813590282605"</f>
        <v>10522018022813590282605</v>
      </c>
      <c r="B1049" s="8" t="s">
        <v>31</v>
      </c>
      <c r="C1049" s="9" t="str">
        <f t="shared" si="77"/>
        <v>女</v>
      </c>
      <c r="D1049" s="9" t="str">
        <f>"341203199306112524"</f>
        <v>341203199306112524</v>
      </c>
      <c r="E1049" s="14" t="str">
        <f t="shared" si="78"/>
        <v>护理</v>
      </c>
      <c r="F1049" s="9" t="str">
        <f>"2018012730"</f>
        <v>2018012730</v>
      </c>
      <c r="G1049" s="9">
        <v>43</v>
      </c>
      <c r="H1049" s="9">
        <v>84</v>
      </c>
      <c r="I1049" s="9">
        <f t="shared" si="76"/>
        <v>71.7</v>
      </c>
      <c r="J1049" s="9"/>
      <c r="K1049" s="3">
        <v>27</v>
      </c>
      <c r="L1049" s="3">
        <v>30</v>
      </c>
    </row>
    <row r="1050" spans="1:12" ht="18.75" customHeight="1">
      <c r="A1050" s="3" t="str">
        <f>"10522018022810275882510"</f>
        <v>10522018022810275882510</v>
      </c>
      <c r="B1050" s="8" t="s">
        <v>31</v>
      </c>
      <c r="C1050" s="9" t="str">
        <f t="shared" si="77"/>
        <v>女</v>
      </c>
      <c r="D1050" s="9" t="str">
        <f>"341224199609260227"</f>
        <v>341224199609260227</v>
      </c>
      <c r="E1050" s="14" t="str">
        <f t="shared" si="78"/>
        <v>护理</v>
      </c>
      <c r="F1050" s="9" t="str">
        <f>"2018013106"</f>
        <v>2018013106</v>
      </c>
      <c r="G1050" s="9">
        <v>36</v>
      </c>
      <c r="H1050" s="9">
        <v>87</v>
      </c>
      <c r="I1050" s="9">
        <f t="shared" si="76"/>
        <v>71.7</v>
      </c>
      <c r="J1050" s="9"/>
      <c r="K1050" s="3">
        <v>31</v>
      </c>
      <c r="L1050" s="3">
        <v>6</v>
      </c>
    </row>
    <row r="1051" spans="1:12" ht="18.75" customHeight="1">
      <c r="A1051" s="3" t="str">
        <f>"10522018022817210382663"</f>
        <v>10522018022817210382663</v>
      </c>
      <c r="B1051" s="8" t="s">
        <v>31</v>
      </c>
      <c r="C1051" s="9" t="str">
        <f t="shared" si="77"/>
        <v>女</v>
      </c>
      <c r="D1051" s="9" t="str">
        <f>"341204199504022622"</f>
        <v>341204199504022622</v>
      </c>
      <c r="E1051" s="14" t="str">
        <f t="shared" si="78"/>
        <v>护理</v>
      </c>
      <c r="F1051" s="9" t="str">
        <f>"2018012828"</f>
        <v>2018012828</v>
      </c>
      <c r="G1051" s="9">
        <v>33.5</v>
      </c>
      <c r="H1051" s="9">
        <v>88</v>
      </c>
      <c r="I1051" s="9">
        <f t="shared" si="76"/>
        <v>71.649999999999991</v>
      </c>
      <c r="J1051" s="9"/>
      <c r="K1051" s="3">
        <v>28</v>
      </c>
      <c r="L1051" s="3">
        <v>28</v>
      </c>
    </row>
    <row r="1052" spans="1:12" ht="18.75" customHeight="1">
      <c r="A1052" s="3" t="str">
        <f>"10522018022620411782068"</f>
        <v>10522018022620411782068</v>
      </c>
      <c r="B1052" s="8" t="s">
        <v>31</v>
      </c>
      <c r="C1052" s="9" t="str">
        <f t="shared" si="77"/>
        <v>女</v>
      </c>
      <c r="D1052" s="9" t="str">
        <f>"341223199309101148"</f>
        <v>341223199309101148</v>
      </c>
      <c r="E1052" s="14" t="str">
        <f t="shared" si="78"/>
        <v>护理</v>
      </c>
      <c r="F1052" s="9" t="str">
        <f>"2018012419"</f>
        <v>2018012419</v>
      </c>
      <c r="G1052" s="9">
        <v>52</v>
      </c>
      <c r="H1052" s="9">
        <v>80</v>
      </c>
      <c r="I1052" s="9">
        <f t="shared" si="76"/>
        <v>71.599999999999994</v>
      </c>
      <c r="J1052" s="9"/>
      <c r="K1052" s="3">
        <v>24</v>
      </c>
      <c r="L1052" s="3">
        <v>19</v>
      </c>
    </row>
    <row r="1053" spans="1:12" ht="18.75" customHeight="1">
      <c r="A1053" s="3" t="str">
        <f>"10522018022711503682201"</f>
        <v>10522018022711503682201</v>
      </c>
      <c r="B1053" s="8" t="s">
        <v>31</v>
      </c>
      <c r="C1053" s="9" t="str">
        <f t="shared" si="77"/>
        <v>女</v>
      </c>
      <c r="D1053" s="9" t="str">
        <f>"341223199511242526"</f>
        <v>341223199511242526</v>
      </c>
      <c r="E1053" s="14" t="str">
        <f t="shared" si="78"/>
        <v>护理</v>
      </c>
      <c r="F1053" s="9" t="str">
        <f>"2018012503"</f>
        <v>2018012503</v>
      </c>
      <c r="G1053" s="9">
        <v>31</v>
      </c>
      <c r="H1053" s="9">
        <v>89</v>
      </c>
      <c r="I1053" s="9">
        <f t="shared" si="76"/>
        <v>71.599999999999994</v>
      </c>
      <c r="J1053" s="9"/>
      <c r="K1053" s="3">
        <v>25</v>
      </c>
      <c r="L1053" s="3">
        <v>3</v>
      </c>
    </row>
    <row r="1054" spans="1:12" ht="18.75" customHeight="1">
      <c r="A1054" s="3" t="str">
        <f>"10522018030116583882965"</f>
        <v>10522018030116583882965</v>
      </c>
      <c r="B1054" s="8" t="s">
        <v>31</v>
      </c>
      <c r="C1054" s="9" t="str">
        <f t="shared" si="77"/>
        <v>女</v>
      </c>
      <c r="D1054" s="9" t="str">
        <f>"341221199509083463"</f>
        <v>341221199509083463</v>
      </c>
      <c r="E1054" s="14" t="str">
        <f t="shared" si="78"/>
        <v>护理</v>
      </c>
      <c r="F1054" s="9" t="str">
        <f>"2018012813"</f>
        <v>2018012813</v>
      </c>
      <c r="G1054" s="9">
        <v>24</v>
      </c>
      <c r="H1054" s="9">
        <v>92</v>
      </c>
      <c r="I1054" s="9">
        <f t="shared" si="76"/>
        <v>71.599999999999994</v>
      </c>
      <c r="J1054" s="9"/>
      <c r="K1054" s="3">
        <v>28</v>
      </c>
      <c r="L1054" s="3">
        <v>13</v>
      </c>
    </row>
    <row r="1055" spans="1:12" ht="18.75" customHeight="1">
      <c r="A1055" s="3" t="str">
        <f>"10522018022813071982581"</f>
        <v>10522018022813071982581</v>
      </c>
      <c r="B1055" s="8" t="s">
        <v>31</v>
      </c>
      <c r="C1055" s="9" t="str">
        <f t="shared" si="77"/>
        <v>女</v>
      </c>
      <c r="D1055" s="9" t="str">
        <f>"341224199411080044"</f>
        <v>341224199411080044</v>
      </c>
      <c r="E1055" s="14" t="str">
        <f t="shared" si="78"/>
        <v>护理</v>
      </c>
      <c r="F1055" s="9" t="str">
        <f>"2018013228"</f>
        <v>2018013228</v>
      </c>
      <c r="G1055" s="9">
        <v>24</v>
      </c>
      <c r="H1055" s="9">
        <v>92</v>
      </c>
      <c r="I1055" s="9">
        <f t="shared" si="76"/>
        <v>71.599999999999994</v>
      </c>
      <c r="J1055" s="9"/>
      <c r="K1055" s="3">
        <v>32</v>
      </c>
      <c r="L1055" s="3">
        <v>28</v>
      </c>
    </row>
    <row r="1056" spans="1:12" ht="18.75" customHeight="1">
      <c r="A1056" s="3" t="str">
        <f>"10522018030108494882795"</f>
        <v>10522018030108494882795</v>
      </c>
      <c r="B1056" s="8" t="s">
        <v>31</v>
      </c>
      <c r="C1056" s="9" t="str">
        <f t="shared" si="77"/>
        <v>女</v>
      </c>
      <c r="D1056" s="9" t="str">
        <f>"140581199510126824"</f>
        <v>140581199510126824</v>
      </c>
      <c r="E1056" s="14" t="str">
        <f t="shared" si="78"/>
        <v>护理</v>
      </c>
      <c r="F1056" s="9" t="str">
        <f>"2018012926"</f>
        <v>2018012926</v>
      </c>
      <c r="G1056" s="9">
        <v>47</v>
      </c>
      <c r="H1056" s="9">
        <v>82</v>
      </c>
      <c r="I1056" s="9">
        <f t="shared" si="76"/>
        <v>71.5</v>
      </c>
      <c r="J1056" s="9"/>
      <c r="K1056" s="3">
        <v>29</v>
      </c>
      <c r="L1056" s="3">
        <v>26</v>
      </c>
    </row>
    <row r="1057" spans="1:12" ht="18.75" customHeight="1">
      <c r="A1057" s="3" t="str">
        <f>"10522018030121392683033"</f>
        <v>10522018030121392683033</v>
      </c>
      <c r="B1057" s="8" t="s">
        <v>31</v>
      </c>
      <c r="C1057" s="9" t="str">
        <f t="shared" si="77"/>
        <v>女</v>
      </c>
      <c r="D1057" s="9" t="str">
        <f>"341223199512170923"</f>
        <v>341223199512170923</v>
      </c>
      <c r="E1057" s="14" t="str">
        <f t="shared" si="78"/>
        <v>护理</v>
      </c>
      <c r="F1057" s="9" t="str">
        <f>"2018013216"</f>
        <v>2018013216</v>
      </c>
      <c r="G1057" s="9">
        <v>37.5</v>
      </c>
      <c r="H1057" s="9">
        <v>86</v>
      </c>
      <c r="I1057" s="9">
        <f t="shared" si="76"/>
        <v>71.449999999999989</v>
      </c>
      <c r="J1057" s="9"/>
      <c r="K1057" s="3">
        <v>32</v>
      </c>
      <c r="L1057" s="3">
        <v>16</v>
      </c>
    </row>
    <row r="1058" spans="1:12" ht="18.75" customHeight="1">
      <c r="A1058" s="3" t="str">
        <f>"10522018022610451581707"</f>
        <v>10522018022610451581707</v>
      </c>
      <c r="B1058" s="8" t="s">
        <v>31</v>
      </c>
      <c r="C1058" s="9" t="str">
        <f t="shared" si="77"/>
        <v>女</v>
      </c>
      <c r="D1058" s="9" t="str">
        <f>"341621199706154541"</f>
        <v>341621199706154541</v>
      </c>
      <c r="E1058" s="14" t="str">
        <f t="shared" si="78"/>
        <v>护理</v>
      </c>
      <c r="F1058" s="9" t="str">
        <f>"2018013130"</f>
        <v>2018013130</v>
      </c>
      <c r="G1058" s="9">
        <v>41.5</v>
      </c>
      <c r="H1058" s="9">
        <v>84</v>
      </c>
      <c r="I1058" s="9">
        <f t="shared" si="76"/>
        <v>71.25</v>
      </c>
      <c r="J1058" s="9"/>
      <c r="K1058" s="3">
        <v>31</v>
      </c>
      <c r="L1058" s="3">
        <v>30</v>
      </c>
    </row>
    <row r="1059" spans="1:12" ht="18.75" customHeight="1">
      <c r="A1059" s="3" t="str">
        <f>"10522018030208260283070"</f>
        <v>10522018030208260283070</v>
      </c>
      <c r="B1059" s="8" t="s">
        <v>31</v>
      </c>
      <c r="C1059" s="9" t="str">
        <f t="shared" si="77"/>
        <v>女</v>
      </c>
      <c r="D1059" s="9" t="str">
        <f>"341621199806213545"</f>
        <v>341621199806213545</v>
      </c>
      <c r="E1059" s="14" t="str">
        <f t="shared" si="78"/>
        <v>护理</v>
      </c>
      <c r="F1059" s="9" t="str">
        <f>"2018013208"</f>
        <v>2018013208</v>
      </c>
      <c r="G1059" s="9">
        <v>34</v>
      </c>
      <c r="H1059" s="9">
        <v>87</v>
      </c>
      <c r="I1059" s="9">
        <f t="shared" si="76"/>
        <v>71.099999999999994</v>
      </c>
      <c r="J1059" s="9"/>
      <c r="K1059" s="3">
        <v>32</v>
      </c>
      <c r="L1059" s="3">
        <v>8</v>
      </c>
    </row>
    <row r="1060" spans="1:12" ht="18.75" customHeight="1">
      <c r="A1060" s="3" t="str">
        <f>"10522018030107514482782"</f>
        <v>10522018030107514482782</v>
      </c>
      <c r="B1060" s="8" t="s">
        <v>31</v>
      </c>
      <c r="C1060" s="9" t="str">
        <f t="shared" si="77"/>
        <v>女</v>
      </c>
      <c r="D1060" s="9" t="str">
        <f>"341223199312021923"</f>
        <v>341223199312021923</v>
      </c>
      <c r="E1060" s="14" t="str">
        <f t="shared" si="78"/>
        <v>护理</v>
      </c>
      <c r="F1060" s="9" t="str">
        <f>"2018013817"</f>
        <v>2018013817</v>
      </c>
      <c r="G1060" s="9">
        <v>38.5</v>
      </c>
      <c r="H1060" s="9">
        <v>85</v>
      </c>
      <c r="I1060" s="9">
        <f t="shared" si="76"/>
        <v>71.05</v>
      </c>
      <c r="J1060" s="9"/>
      <c r="K1060" s="3">
        <v>38</v>
      </c>
      <c r="L1060" s="3">
        <v>17</v>
      </c>
    </row>
    <row r="1061" spans="1:12" ht="18.75" customHeight="1">
      <c r="A1061" s="3" t="str">
        <f>"10522018022808434082469"</f>
        <v>10522018022808434082469</v>
      </c>
      <c r="B1061" s="8" t="s">
        <v>31</v>
      </c>
      <c r="C1061" s="9" t="str">
        <f t="shared" si="77"/>
        <v>女</v>
      </c>
      <c r="D1061" s="9" t="str">
        <f>"341224199301063323"</f>
        <v>341224199301063323</v>
      </c>
      <c r="E1061" s="14" t="str">
        <f t="shared" si="78"/>
        <v>护理</v>
      </c>
      <c r="F1061" s="9" t="str">
        <f>"2018012402"</f>
        <v>2018012402</v>
      </c>
      <c r="G1061" s="9">
        <v>26</v>
      </c>
      <c r="H1061" s="9">
        <v>90</v>
      </c>
      <c r="I1061" s="9">
        <f t="shared" si="76"/>
        <v>70.8</v>
      </c>
      <c r="J1061" s="9"/>
      <c r="K1061" s="3">
        <v>24</v>
      </c>
      <c r="L1061" s="3">
        <v>2</v>
      </c>
    </row>
    <row r="1062" spans="1:12" ht="18.75" customHeight="1">
      <c r="A1062" s="3" t="str">
        <f>"10522018030113020082880"</f>
        <v>10522018030113020082880</v>
      </c>
      <c r="B1062" s="8" t="s">
        <v>31</v>
      </c>
      <c r="C1062" s="9" t="str">
        <f t="shared" si="77"/>
        <v>女</v>
      </c>
      <c r="D1062" s="9" t="str">
        <f>"341623199411088068"</f>
        <v>341623199411088068</v>
      </c>
      <c r="E1062" s="14" t="str">
        <f t="shared" si="78"/>
        <v>护理</v>
      </c>
      <c r="F1062" s="9" t="str">
        <f>"2018012329"</f>
        <v>2018012329</v>
      </c>
      <c r="G1062" s="9">
        <v>18.5</v>
      </c>
      <c r="H1062" s="9">
        <v>93</v>
      </c>
      <c r="I1062" s="9">
        <f t="shared" si="76"/>
        <v>70.649999999999991</v>
      </c>
      <c r="J1062" s="9"/>
      <c r="K1062" s="3">
        <v>23</v>
      </c>
      <c r="L1062" s="3">
        <v>29</v>
      </c>
    </row>
    <row r="1063" spans="1:12" ht="18.75" customHeight="1">
      <c r="A1063" s="3" t="str">
        <f>"10522018022609584281642"</f>
        <v>10522018022609584281642</v>
      </c>
      <c r="B1063" s="8" t="s">
        <v>31</v>
      </c>
      <c r="C1063" s="9" t="str">
        <f t="shared" si="77"/>
        <v>女</v>
      </c>
      <c r="D1063" s="9" t="str">
        <f>"341621199603114125"</f>
        <v>341621199603114125</v>
      </c>
      <c r="E1063" s="14" t="str">
        <f t="shared" si="78"/>
        <v>护理</v>
      </c>
      <c r="F1063" s="9" t="str">
        <f>"2018012604"</f>
        <v>2018012604</v>
      </c>
      <c r="G1063" s="9">
        <v>44</v>
      </c>
      <c r="H1063" s="9">
        <v>82</v>
      </c>
      <c r="I1063" s="9">
        <f t="shared" si="76"/>
        <v>70.599999999999994</v>
      </c>
      <c r="J1063" s="9"/>
      <c r="K1063" s="3">
        <v>26</v>
      </c>
      <c r="L1063" s="3">
        <v>4</v>
      </c>
    </row>
    <row r="1064" spans="1:12" ht="18.75" customHeight="1">
      <c r="A1064" s="3" t="str">
        <f>"10522018022811420882545"</f>
        <v>10522018022811420882545</v>
      </c>
      <c r="B1064" s="8" t="s">
        <v>31</v>
      </c>
      <c r="C1064" s="9" t="str">
        <f t="shared" si="77"/>
        <v>女</v>
      </c>
      <c r="D1064" s="9" t="str">
        <f>"341222199505168183"</f>
        <v>341222199505168183</v>
      </c>
      <c r="E1064" s="14" t="str">
        <f t="shared" si="78"/>
        <v>护理</v>
      </c>
      <c r="F1064" s="9" t="str">
        <f>"2018013029"</f>
        <v>2018013029</v>
      </c>
      <c r="G1064" s="9">
        <v>32</v>
      </c>
      <c r="H1064" s="9">
        <v>87</v>
      </c>
      <c r="I1064" s="9">
        <f t="shared" si="76"/>
        <v>70.5</v>
      </c>
      <c r="J1064" s="9"/>
      <c r="K1064" s="3">
        <v>30</v>
      </c>
      <c r="L1064" s="3">
        <v>29</v>
      </c>
    </row>
    <row r="1065" spans="1:12" ht="18.75" customHeight="1">
      <c r="A1065" s="3" t="str">
        <f>"10522018022811434682547"</f>
        <v>10522018022811434682547</v>
      </c>
      <c r="B1065" s="8" t="s">
        <v>31</v>
      </c>
      <c r="C1065" s="9" t="str">
        <f t="shared" si="77"/>
        <v>女</v>
      </c>
      <c r="D1065" s="9" t="str">
        <f>"34122319940727232X"</f>
        <v>34122319940727232X</v>
      </c>
      <c r="E1065" s="14" t="str">
        <f t="shared" si="78"/>
        <v>护理</v>
      </c>
      <c r="F1065" s="9" t="str">
        <f>"2018012601"</f>
        <v>2018012601</v>
      </c>
      <c r="G1065" s="9">
        <v>41</v>
      </c>
      <c r="H1065" s="9">
        <v>83</v>
      </c>
      <c r="I1065" s="9">
        <f t="shared" si="76"/>
        <v>70.399999999999991</v>
      </c>
      <c r="J1065" s="9"/>
      <c r="K1065" s="3">
        <v>26</v>
      </c>
      <c r="L1065" s="3">
        <v>1</v>
      </c>
    </row>
    <row r="1066" spans="1:12" ht="18.75" customHeight="1">
      <c r="A1066" s="3" t="str">
        <f>"10522018022820381882729"</f>
        <v>10522018022820381882729</v>
      </c>
      <c r="B1066" s="8" t="s">
        <v>31</v>
      </c>
      <c r="C1066" s="9" t="str">
        <f t="shared" si="77"/>
        <v>女</v>
      </c>
      <c r="D1066" s="9" t="str">
        <f>"341621199511012324"</f>
        <v>341621199511012324</v>
      </c>
      <c r="E1066" s="14" t="str">
        <f t="shared" si="78"/>
        <v>护理</v>
      </c>
      <c r="F1066" s="9" t="str">
        <f>"2018012718"</f>
        <v>2018012718</v>
      </c>
      <c r="G1066" s="9">
        <v>38.5</v>
      </c>
      <c r="H1066" s="9">
        <v>84</v>
      </c>
      <c r="I1066" s="9">
        <f t="shared" si="76"/>
        <v>70.349999999999994</v>
      </c>
      <c r="J1066" s="9"/>
      <c r="K1066" s="3">
        <v>27</v>
      </c>
      <c r="L1066" s="3">
        <v>18</v>
      </c>
    </row>
    <row r="1067" spans="1:12" ht="18.75" customHeight="1">
      <c r="A1067" s="3" t="str">
        <f>"10522018022718141582327"</f>
        <v>10522018022718141582327</v>
      </c>
      <c r="B1067" s="8" t="s">
        <v>31</v>
      </c>
      <c r="C1067" s="9" t="str">
        <f t="shared" si="77"/>
        <v>女</v>
      </c>
      <c r="D1067" s="9" t="str">
        <f>"341623199611101028"</f>
        <v>341623199611101028</v>
      </c>
      <c r="E1067" s="14" t="str">
        <f t="shared" si="78"/>
        <v>护理</v>
      </c>
      <c r="F1067" s="9" t="str">
        <f>"2018012907"</f>
        <v>2018012907</v>
      </c>
      <c r="G1067" s="9">
        <v>45</v>
      </c>
      <c r="H1067" s="9">
        <v>81</v>
      </c>
      <c r="I1067" s="9">
        <f t="shared" si="76"/>
        <v>70.199999999999989</v>
      </c>
      <c r="J1067" s="9"/>
      <c r="K1067" s="3">
        <v>29</v>
      </c>
      <c r="L1067" s="3">
        <v>7</v>
      </c>
    </row>
    <row r="1068" spans="1:12" ht="18.75" customHeight="1">
      <c r="A1068" s="3" t="str">
        <f>"10522018022621405282092"</f>
        <v>10522018022621405282092</v>
      </c>
      <c r="B1068" s="8" t="s">
        <v>31</v>
      </c>
      <c r="C1068" s="9" t="str">
        <f t="shared" si="77"/>
        <v>女</v>
      </c>
      <c r="D1068" s="9" t="str">
        <f>"341223199306060248"</f>
        <v>341223199306060248</v>
      </c>
      <c r="E1068" s="14" t="str">
        <f t="shared" si="78"/>
        <v>护理</v>
      </c>
      <c r="F1068" s="9" t="str">
        <f>"2018012819"</f>
        <v>2018012819</v>
      </c>
      <c r="G1068" s="9">
        <v>39.5</v>
      </c>
      <c r="H1068" s="9">
        <v>83</v>
      </c>
      <c r="I1068" s="9">
        <f t="shared" si="76"/>
        <v>69.949999999999989</v>
      </c>
      <c r="J1068" s="9"/>
      <c r="K1068" s="3">
        <v>28</v>
      </c>
      <c r="L1068" s="3">
        <v>19</v>
      </c>
    </row>
    <row r="1069" spans="1:12" ht="18.75" customHeight="1">
      <c r="A1069" s="3" t="str">
        <f>"10522018030115041182925"</f>
        <v>10522018030115041182925</v>
      </c>
      <c r="B1069" s="8" t="s">
        <v>31</v>
      </c>
      <c r="C1069" s="9" t="str">
        <f t="shared" si="77"/>
        <v>女</v>
      </c>
      <c r="D1069" s="9" t="str">
        <f>"341226199703100425"</f>
        <v>341226199703100425</v>
      </c>
      <c r="E1069" s="14" t="str">
        <f t="shared" si="78"/>
        <v>护理</v>
      </c>
      <c r="F1069" s="9" t="str">
        <f>"2018013815"</f>
        <v>2018013815</v>
      </c>
      <c r="G1069" s="9">
        <v>37</v>
      </c>
      <c r="H1069" s="9">
        <v>84</v>
      </c>
      <c r="I1069" s="9">
        <f t="shared" si="76"/>
        <v>69.899999999999991</v>
      </c>
      <c r="J1069" s="9"/>
      <c r="K1069" s="3">
        <v>38</v>
      </c>
      <c r="L1069" s="3">
        <v>15</v>
      </c>
    </row>
    <row r="1070" spans="1:12" ht="18.75" customHeight="1">
      <c r="A1070" s="3" t="str">
        <f>"10522018030214163883156"</f>
        <v>10522018030214163883156</v>
      </c>
      <c r="B1070" s="8" t="s">
        <v>31</v>
      </c>
      <c r="C1070" s="9" t="str">
        <f t="shared" si="77"/>
        <v>女</v>
      </c>
      <c r="D1070" s="9" t="str">
        <f>"341621199311293520"</f>
        <v>341621199311293520</v>
      </c>
      <c r="E1070" s="14" t="str">
        <f t="shared" si="78"/>
        <v>护理</v>
      </c>
      <c r="F1070" s="9" t="str">
        <f>"2018012702"</f>
        <v>2018012702</v>
      </c>
      <c r="G1070" s="9">
        <v>46</v>
      </c>
      <c r="H1070" s="9">
        <v>80</v>
      </c>
      <c r="I1070" s="9">
        <f t="shared" si="76"/>
        <v>69.8</v>
      </c>
      <c r="J1070" s="9"/>
      <c r="K1070" s="3">
        <v>27</v>
      </c>
      <c r="L1070" s="3">
        <v>2</v>
      </c>
    </row>
    <row r="1071" spans="1:12" ht="18.75" customHeight="1">
      <c r="A1071" s="3" t="str">
        <f>"10522018022814073982609"</f>
        <v>10522018022814073982609</v>
      </c>
      <c r="B1071" s="8" t="s">
        <v>31</v>
      </c>
      <c r="C1071" s="9" t="str">
        <f t="shared" si="77"/>
        <v>女</v>
      </c>
      <c r="D1071" s="9" t="str">
        <f>"341227199811027022"</f>
        <v>341227199811027022</v>
      </c>
      <c r="E1071" s="14" t="str">
        <f t="shared" si="78"/>
        <v>护理</v>
      </c>
      <c r="F1071" s="9" t="str">
        <f>"2018012710"</f>
        <v>2018012710</v>
      </c>
      <c r="G1071" s="9">
        <v>29.5</v>
      </c>
      <c r="H1071" s="9">
        <v>87</v>
      </c>
      <c r="I1071" s="9">
        <f t="shared" si="76"/>
        <v>69.75</v>
      </c>
      <c r="J1071" s="9"/>
      <c r="K1071" s="3">
        <v>27</v>
      </c>
      <c r="L1071" s="3">
        <v>10</v>
      </c>
    </row>
    <row r="1072" spans="1:12" ht="18.75" customHeight="1">
      <c r="A1072" s="3" t="str">
        <f>"10522018030207204583063"</f>
        <v>10522018030207204583063</v>
      </c>
      <c r="B1072" s="8" t="s">
        <v>31</v>
      </c>
      <c r="C1072" s="9" t="str">
        <f t="shared" si="77"/>
        <v>女</v>
      </c>
      <c r="D1072" s="9" t="str">
        <f>"341226199509157129"</f>
        <v>341226199509157129</v>
      </c>
      <c r="E1072" s="14" t="str">
        <f t="shared" si="78"/>
        <v>护理</v>
      </c>
      <c r="F1072" s="9" t="str">
        <f>"2018012719"</f>
        <v>2018012719</v>
      </c>
      <c r="G1072" s="9">
        <v>26</v>
      </c>
      <c r="H1072" s="9">
        <v>88</v>
      </c>
      <c r="I1072" s="9">
        <f t="shared" si="76"/>
        <v>69.399999999999991</v>
      </c>
      <c r="J1072" s="9"/>
      <c r="K1072" s="3">
        <v>27</v>
      </c>
      <c r="L1072" s="3">
        <v>19</v>
      </c>
    </row>
    <row r="1073" spans="1:12" ht="18.75" customHeight="1">
      <c r="A1073" s="3" t="str">
        <f>"10522018030118293082991"</f>
        <v>10522018030118293082991</v>
      </c>
      <c r="B1073" s="8" t="s">
        <v>31</v>
      </c>
      <c r="C1073" s="9" t="str">
        <f t="shared" si="77"/>
        <v>女</v>
      </c>
      <c r="D1073" s="9" t="str">
        <f>"341281199612051562"</f>
        <v>341281199612051562</v>
      </c>
      <c r="E1073" s="14" t="str">
        <f t="shared" si="78"/>
        <v>护理</v>
      </c>
      <c r="F1073" s="9" t="str">
        <f>"2018013128"</f>
        <v>2018013128</v>
      </c>
      <c r="G1073" s="9">
        <v>29</v>
      </c>
      <c r="H1073" s="9">
        <v>86</v>
      </c>
      <c r="I1073" s="9">
        <f t="shared" si="76"/>
        <v>68.899999999999991</v>
      </c>
      <c r="J1073" s="9"/>
      <c r="K1073" s="3">
        <v>31</v>
      </c>
      <c r="L1073" s="3">
        <v>28</v>
      </c>
    </row>
    <row r="1074" spans="1:12" ht="18.75" customHeight="1">
      <c r="A1074" s="3" t="str">
        <f>"10522018022721305682422"</f>
        <v>10522018022721305682422</v>
      </c>
      <c r="B1074" s="8" t="s">
        <v>31</v>
      </c>
      <c r="C1074" s="9" t="str">
        <f t="shared" si="77"/>
        <v>女</v>
      </c>
      <c r="D1074" s="9" t="str">
        <f>"341223199304084107"</f>
        <v>341223199304084107</v>
      </c>
      <c r="E1074" s="14" t="str">
        <f t="shared" si="78"/>
        <v>护理</v>
      </c>
      <c r="F1074" s="9" t="str">
        <f>"2018013024"</f>
        <v>2018013024</v>
      </c>
      <c r="G1074" s="9">
        <v>45</v>
      </c>
      <c r="H1074" s="9">
        <v>79</v>
      </c>
      <c r="I1074" s="9">
        <f t="shared" si="76"/>
        <v>68.8</v>
      </c>
      <c r="J1074" s="9"/>
      <c r="K1074" s="3">
        <v>30</v>
      </c>
      <c r="L1074" s="3">
        <v>24</v>
      </c>
    </row>
    <row r="1075" spans="1:12" ht="18.75" customHeight="1">
      <c r="A1075" s="3" t="str">
        <f>"10522018022609132281591"</f>
        <v>10522018022609132281591</v>
      </c>
      <c r="B1075" s="8" t="s">
        <v>31</v>
      </c>
      <c r="C1075" s="9" t="str">
        <f t="shared" si="77"/>
        <v>女</v>
      </c>
      <c r="D1075" s="9" t="str">
        <f>"341227199510218327"</f>
        <v>341227199510218327</v>
      </c>
      <c r="E1075" s="14" t="str">
        <f t="shared" si="78"/>
        <v>护理</v>
      </c>
      <c r="F1075" s="9" t="str">
        <f>"2018012922"</f>
        <v>2018012922</v>
      </c>
      <c r="G1075" s="9">
        <v>23.5</v>
      </c>
      <c r="H1075" s="9">
        <v>88</v>
      </c>
      <c r="I1075" s="9">
        <f t="shared" si="76"/>
        <v>68.649999999999991</v>
      </c>
      <c r="J1075" s="9"/>
      <c r="K1075" s="3">
        <v>29</v>
      </c>
      <c r="L1075" s="3">
        <v>22</v>
      </c>
    </row>
    <row r="1076" spans="1:12" ht="18.75" customHeight="1">
      <c r="A1076" s="3" t="str">
        <f>"10522018030111505082853"</f>
        <v>10522018030111505082853</v>
      </c>
      <c r="B1076" s="8" t="s">
        <v>31</v>
      </c>
      <c r="C1076" s="9" t="str">
        <f t="shared" si="77"/>
        <v>女</v>
      </c>
      <c r="D1076" s="9" t="str">
        <f>"341225199405102063"</f>
        <v>341225199405102063</v>
      </c>
      <c r="E1076" s="14" t="str">
        <f t="shared" si="78"/>
        <v>护理</v>
      </c>
      <c r="F1076" s="9" t="str">
        <f>"2018013129"</f>
        <v>2018013129</v>
      </c>
      <c r="G1076" s="9">
        <v>23.5</v>
      </c>
      <c r="H1076" s="9">
        <v>88</v>
      </c>
      <c r="I1076" s="9">
        <f t="shared" si="76"/>
        <v>68.649999999999991</v>
      </c>
      <c r="J1076" s="9"/>
      <c r="K1076" s="3">
        <v>31</v>
      </c>
      <c r="L1076" s="3">
        <v>29</v>
      </c>
    </row>
    <row r="1077" spans="1:12" ht="18.75" customHeight="1">
      <c r="A1077" s="3" t="str">
        <f>"10522018030108525082797"</f>
        <v>10522018030108525082797</v>
      </c>
      <c r="B1077" s="8" t="s">
        <v>31</v>
      </c>
      <c r="C1077" s="9" t="str">
        <f t="shared" si="77"/>
        <v>女</v>
      </c>
      <c r="D1077" s="9" t="str">
        <f>"341224199502127848"</f>
        <v>341224199502127848</v>
      </c>
      <c r="E1077" s="14" t="str">
        <f t="shared" si="78"/>
        <v>护理</v>
      </c>
      <c r="F1077" s="9" t="str">
        <f>"2018013117"</f>
        <v>2018013117</v>
      </c>
      <c r="G1077" s="9">
        <v>42</v>
      </c>
      <c r="H1077" s="9">
        <v>80</v>
      </c>
      <c r="I1077" s="9">
        <f t="shared" si="76"/>
        <v>68.599999999999994</v>
      </c>
      <c r="J1077" s="9"/>
      <c r="K1077" s="3">
        <v>31</v>
      </c>
      <c r="L1077" s="3">
        <v>17</v>
      </c>
    </row>
    <row r="1078" spans="1:12" ht="18.75" customHeight="1">
      <c r="A1078" s="3" t="str">
        <f>"10522018022720275882394"</f>
        <v>10522018022720275882394</v>
      </c>
      <c r="B1078" s="8" t="s">
        <v>31</v>
      </c>
      <c r="C1078" s="9" t="str">
        <f t="shared" si="77"/>
        <v>女</v>
      </c>
      <c r="D1078" s="9" t="str">
        <f>"341223199403250027"</f>
        <v>341223199403250027</v>
      </c>
      <c r="E1078" s="14" t="str">
        <f t="shared" si="78"/>
        <v>护理</v>
      </c>
      <c r="F1078" s="9" t="str">
        <f>"2018013001"</f>
        <v>2018013001</v>
      </c>
      <c r="G1078" s="9">
        <v>37</v>
      </c>
      <c r="H1078" s="9">
        <v>82</v>
      </c>
      <c r="I1078" s="9">
        <f t="shared" si="76"/>
        <v>68.5</v>
      </c>
      <c r="J1078" s="9"/>
      <c r="K1078" s="3">
        <v>30</v>
      </c>
      <c r="L1078" s="3">
        <v>1</v>
      </c>
    </row>
    <row r="1079" spans="1:12" ht="18.75" customHeight="1">
      <c r="A1079" s="3" t="str">
        <f>"10522018022719182682360"</f>
        <v>10522018022719182682360</v>
      </c>
      <c r="B1079" s="8" t="s">
        <v>31</v>
      </c>
      <c r="C1079" s="9" t="str">
        <f t="shared" si="77"/>
        <v>女</v>
      </c>
      <c r="D1079" s="9" t="str">
        <f>"341223199502103188"</f>
        <v>341223199502103188</v>
      </c>
      <c r="E1079" s="14" t="str">
        <f t="shared" si="78"/>
        <v>护理</v>
      </c>
      <c r="F1079" s="9" t="str">
        <f>"2018012906"</f>
        <v>2018012906</v>
      </c>
      <c r="G1079" s="9">
        <v>55.5</v>
      </c>
      <c r="H1079" s="9">
        <v>74</v>
      </c>
      <c r="I1079" s="9">
        <f t="shared" si="76"/>
        <v>68.449999999999989</v>
      </c>
      <c r="J1079" s="9"/>
      <c r="K1079" s="3">
        <v>29</v>
      </c>
      <c r="L1079" s="3">
        <v>6</v>
      </c>
    </row>
    <row r="1080" spans="1:12" ht="18.75" customHeight="1">
      <c r="A1080" s="3" t="str">
        <f>"10522018022809115482477"</f>
        <v>10522018022809115482477</v>
      </c>
      <c r="B1080" s="8" t="s">
        <v>31</v>
      </c>
      <c r="C1080" s="9" t="str">
        <f t="shared" si="77"/>
        <v>女</v>
      </c>
      <c r="D1080" s="9" t="str">
        <f>"341623199408122624"</f>
        <v>341623199408122624</v>
      </c>
      <c r="E1080" s="14" t="str">
        <f t="shared" si="78"/>
        <v>护理</v>
      </c>
      <c r="F1080" s="9" t="str">
        <f>"2018013103"</f>
        <v>2018013103</v>
      </c>
      <c r="G1080" s="9">
        <v>55.5</v>
      </c>
      <c r="H1080" s="9">
        <v>74</v>
      </c>
      <c r="I1080" s="9">
        <f t="shared" si="76"/>
        <v>68.449999999999989</v>
      </c>
      <c r="J1080" s="9"/>
      <c r="K1080" s="3">
        <v>31</v>
      </c>
      <c r="L1080" s="3">
        <v>3</v>
      </c>
    </row>
    <row r="1081" spans="1:12" ht="18.75" customHeight="1">
      <c r="A1081" s="3" t="str">
        <f>"10522018022622001682103"</f>
        <v>10522018022622001682103</v>
      </c>
      <c r="B1081" s="8" t="s">
        <v>31</v>
      </c>
      <c r="C1081" s="9" t="str">
        <f t="shared" si="77"/>
        <v>女</v>
      </c>
      <c r="D1081" s="9" t="str">
        <f>"341221199401032605"</f>
        <v>341221199401032605</v>
      </c>
      <c r="E1081" s="14" t="str">
        <f t="shared" si="78"/>
        <v>护理</v>
      </c>
      <c r="F1081" s="9" t="str">
        <f>"2018013220"</f>
        <v>2018013220</v>
      </c>
      <c r="G1081" s="9">
        <v>48</v>
      </c>
      <c r="H1081" s="9">
        <v>77</v>
      </c>
      <c r="I1081" s="9">
        <f t="shared" si="76"/>
        <v>68.3</v>
      </c>
      <c r="J1081" s="9"/>
      <c r="K1081" s="3">
        <v>32</v>
      </c>
      <c r="L1081" s="3">
        <v>20</v>
      </c>
    </row>
    <row r="1082" spans="1:12" ht="18.75" customHeight="1">
      <c r="A1082" s="3" t="str">
        <f>"10522018030208250683069"</f>
        <v>10522018030208250683069</v>
      </c>
      <c r="B1082" s="8" t="s">
        <v>31</v>
      </c>
      <c r="C1082" s="9" t="str">
        <f t="shared" si="77"/>
        <v>女</v>
      </c>
      <c r="D1082" s="9" t="str">
        <f>"341322199608176421"</f>
        <v>341322199608176421</v>
      </c>
      <c r="E1082" s="14" t="str">
        <f t="shared" si="78"/>
        <v>护理</v>
      </c>
      <c r="F1082" s="9" t="str">
        <f>"2018012706"</f>
        <v>2018012706</v>
      </c>
      <c r="G1082" s="9">
        <v>26</v>
      </c>
      <c r="H1082" s="9">
        <v>86</v>
      </c>
      <c r="I1082" s="9">
        <f t="shared" si="76"/>
        <v>68</v>
      </c>
      <c r="J1082" s="9"/>
      <c r="K1082" s="3">
        <v>27</v>
      </c>
      <c r="L1082" s="3">
        <v>6</v>
      </c>
    </row>
    <row r="1083" spans="1:12" ht="18.75" customHeight="1">
      <c r="A1083" s="3" t="str">
        <f>"10522018022611334881762"</f>
        <v>10522018022611334881762</v>
      </c>
      <c r="B1083" s="8" t="s">
        <v>31</v>
      </c>
      <c r="C1083" s="9" t="str">
        <f t="shared" si="77"/>
        <v>女</v>
      </c>
      <c r="D1083" s="9" t="str">
        <f>"341223199602214723"</f>
        <v>341223199602214723</v>
      </c>
      <c r="E1083" s="14" t="str">
        <f t="shared" si="78"/>
        <v>护理</v>
      </c>
      <c r="F1083" s="9" t="str">
        <f>"2018013025"</f>
        <v>2018013025</v>
      </c>
      <c r="G1083" s="9">
        <v>47</v>
      </c>
      <c r="H1083" s="9">
        <v>77</v>
      </c>
      <c r="I1083" s="9">
        <f t="shared" si="76"/>
        <v>68</v>
      </c>
      <c r="J1083" s="9"/>
      <c r="K1083" s="3">
        <v>30</v>
      </c>
      <c r="L1083" s="3">
        <v>25</v>
      </c>
    </row>
    <row r="1084" spans="1:12" ht="18.75" customHeight="1">
      <c r="A1084" s="3" t="str">
        <f>"10522018022616541281967"</f>
        <v>10522018022616541281967</v>
      </c>
      <c r="B1084" s="8" t="s">
        <v>31</v>
      </c>
      <c r="C1084" s="9" t="str">
        <f t="shared" si="77"/>
        <v>女</v>
      </c>
      <c r="D1084" s="9" t="str">
        <f>"341623199611236766"</f>
        <v>341623199611236766</v>
      </c>
      <c r="E1084" s="14" t="str">
        <f t="shared" si="78"/>
        <v>护理</v>
      </c>
      <c r="F1084" s="9" t="str">
        <f>"2018012928"</f>
        <v>2018012928</v>
      </c>
      <c r="G1084" s="9">
        <v>32.5</v>
      </c>
      <c r="H1084" s="9">
        <v>83</v>
      </c>
      <c r="I1084" s="9">
        <f t="shared" si="76"/>
        <v>67.849999999999994</v>
      </c>
      <c r="J1084" s="9"/>
      <c r="K1084" s="3">
        <v>29</v>
      </c>
      <c r="L1084" s="3">
        <v>28</v>
      </c>
    </row>
    <row r="1085" spans="1:12" ht="18.75" customHeight="1">
      <c r="A1085" s="3" t="str">
        <f>"10522018022710362082180"</f>
        <v>10522018022710362082180</v>
      </c>
      <c r="B1085" s="8" t="s">
        <v>31</v>
      </c>
      <c r="C1085" s="9" t="str">
        <f t="shared" si="77"/>
        <v>女</v>
      </c>
      <c r="D1085" s="9" t="str">
        <f>"341223199608123128"</f>
        <v>341223199608123128</v>
      </c>
      <c r="E1085" s="14" t="str">
        <f t="shared" si="78"/>
        <v>护理</v>
      </c>
      <c r="F1085" s="9" t="str">
        <f>"2018012418"</f>
        <v>2018012418</v>
      </c>
      <c r="G1085" s="9">
        <v>44</v>
      </c>
      <c r="H1085" s="9">
        <v>78</v>
      </c>
      <c r="I1085" s="9">
        <f t="shared" si="76"/>
        <v>67.8</v>
      </c>
      <c r="J1085" s="9"/>
      <c r="K1085" s="3">
        <v>24</v>
      </c>
      <c r="L1085" s="3">
        <v>18</v>
      </c>
    </row>
    <row r="1086" spans="1:12" ht="18.75" customHeight="1">
      <c r="A1086" s="3" t="str">
        <f>"10522018030108442582794"</f>
        <v>10522018030108442582794</v>
      </c>
      <c r="B1086" s="8" t="s">
        <v>31</v>
      </c>
      <c r="C1086" s="9" t="str">
        <f t="shared" si="77"/>
        <v>女</v>
      </c>
      <c r="D1086" s="9" t="str">
        <f>"341223199312011805"</f>
        <v>341223199312011805</v>
      </c>
      <c r="E1086" s="14" t="str">
        <f t="shared" si="78"/>
        <v>护理</v>
      </c>
      <c r="F1086" s="9" t="str">
        <f>"2018013213"</f>
        <v>2018013213</v>
      </c>
      <c r="G1086" s="9">
        <v>36.5</v>
      </c>
      <c r="H1086" s="9">
        <v>81</v>
      </c>
      <c r="I1086" s="9">
        <f t="shared" si="76"/>
        <v>67.649999999999991</v>
      </c>
      <c r="J1086" s="9"/>
      <c r="K1086" s="3">
        <v>32</v>
      </c>
      <c r="L1086" s="3">
        <v>13</v>
      </c>
    </row>
    <row r="1087" spans="1:12" ht="18.75" customHeight="1">
      <c r="A1087" s="3" t="str">
        <f>"10522018022821251682745"</f>
        <v>10522018022821251682745</v>
      </c>
      <c r="B1087" s="8" t="s">
        <v>31</v>
      </c>
      <c r="C1087" s="9" t="str">
        <f t="shared" si="77"/>
        <v>女</v>
      </c>
      <c r="D1087" s="9" t="str">
        <f>"341226199603186145"</f>
        <v>341226199603186145</v>
      </c>
      <c r="E1087" s="14" t="str">
        <f t="shared" si="78"/>
        <v>护理</v>
      </c>
      <c r="F1087" s="9" t="str">
        <f>"2018013816"</f>
        <v>2018013816</v>
      </c>
      <c r="G1087" s="9">
        <v>36.5</v>
      </c>
      <c r="H1087" s="9">
        <v>81</v>
      </c>
      <c r="I1087" s="9">
        <f t="shared" si="76"/>
        <v>67.649999999999991</v>
      </c>
      <c r="J1087" s="9"/>
      <c r="K1087" s="3">
        <v>38</v>
      </c>
      <c r="L1087" s="3">
        <v>16</v>
      </c>
    </row>
    <row r="1088" spans="1:12" ht="18.75" customHeight="1">
      <c r="A1088" s="3" t="str">
        <f>"10522018022821192382742"</f>
        <v>10522018022821192382742</v>
      </c>
      <c r="B1088" s="8" t="s">
        <v>31</v>
      </c>
      <c r="C1088" s="9" t="str">
        <f t="shared" si="77"/>
        <v>女</v>
      </c>
      <c r="D1088" s="9" t="str">
        <f>"341223199305030223"</f>
        <v>341223199305030223</v>
      </c>
      <c r="E1088" s="14" t="str">
        <f t="shared" si="78"/>
        <v>护理</v>
      </c>
      <c r="F1088" s="9" t="str">
        <f>"2018012628"</f>
        <v>2018012628</v>
      </c>
      <c r="G1088" s="9">
        <v>31</v>
      </c>
      <c r="H1088" s="9">
        <v>83</v>
      </c>
      <c r="I1088" s="9">
        <f t="shared" si="76"/>
        <v>67.399999999999991</v>
      </c>
      <c r="J1088" s="9"/>
      <c r="K1088" s="3">
        <v>26</v>
      </c>
      <c r="L1088" s="3">
        <v>28</v>
      </c>
    </row>
    <row r="1089" spans="1:12" ht="18.75" customHeight="1">
      <c r="A1089" s="3" t="str">
        <f>"10522018022816225682649"</f>
        <v>10522018022816225682649</v>
      </c>
      <c r="B1089" s="8" t="s">
        <v>31</v>
      </c>
      <c r="C1089" s="9" t="str">
        <f t="shared" si="77"/>
        <v>女</v>
      </c>
      <c r="D1089" s="9" t="str">
        <f>"341204199706241049"</f>
        <v>341204199706241049</v>
      </c>
      <c r="E1089" s="14" t="str">
        <f t="shared" si="78"/>
        <v>护理</v>
      </c>
      <c r="F1089" s="9" t="str">
        <f>"2018013012"</f>
        <v>2018013012</v>
      </c>
      <c r="G1089" s="9">
        <v>28.5</v>
      </c>
      <c r="H1089" s="9">
        <v>84</v>
      </c>
      <c r="I1089" s="9">
        <f t="shared" si="76"/>
        <v>67.349999999999994</v>
      </c>
      <c r="J1089" s="9"/>
      <c r="K1089" s="3">
        <v>30</v>
      </c>
      <c r="L1089" s="3">
        <v>12</v>
      </c>
    </row>
    <row r="1090" spans="1:12" ht="18.75" customHeight="1">
      <c r="A1090" s="3" t="str">
        <f>"10522018030213401983145"</f>
        <v>10522018030213401983145</v>
      </c>
      <c r="B1090" s="8" t="s">
        <v>31</v>
      </c>
      <c r="C1090" s="9" t="str">
        <f t="shared" si="77"/>
        <v>女</v>
      </c>
      <c r="D1090" s="9" t="str">
        <f>"341227199704086780"</f>
        <v>341227199704086780</v>
      </c>
      <c r="E1090" s="14" t="str">
        <f t="shared" si="78"/>
        <v>护理</v>
      </c>
      <c r="F1090" s="9" t="str">
        <f>"2018012911"</f>
        <v>2018012911</v>
      </c>
      <c r="G1090" s="9">
        <v>39.5</v>
      </c>
      <c r="H1090" s="9">
        <v>79</v>
      </c>
      <c r="I1090" s="9">
        <f t="shared" ref="I1090:I1153" si="79">G1090*0.3+H1090*0.7</f>
        <v>67.149999999999991</v>
      </c>
      <c r="J1090" s="9"/>
      <c r="K1090" s="3">
        <v>29</v>
      </c>
      <c r="L1090" s="3">
        <v>11</v>
      </c>
    </row>
    <row r="1091" spans="1:12" ht="18.75" customHeight="1">
      <c r="A1091" s="3" t="str">
        <f>"10522018022619135482026"</f>
        <v>10522018022619135482026</v>
      </c>
      <c r="B1091" s="8" t="s">
        <v>31</v>
      </c>
      <c r="C1091" s="9" t="str">
        <f t="shared" si="77"/>
        <v>女</v>
      </c>
      <c r="D1091" s="9" t="str">
        <f>"341223199506074361"</f>
        <v>341223199506074361</v>
      </c>
      <c r="E1091" s="14" t="str">
        <f t="shared" si="78"/>
        <v>护理</v>
      </c>
      <c r="F1091" s="9" t="str">
        <f>"2018013823"</f>
        <v>2018013823</v>
      </c>
      <c r="G1091" s="9">
        <v>39.5</v>
      </c>
      <c r="H1091" s="9">
        <v>79</v>
      </c>
      <c r="I1091" s="9">
        <f t="shared" si="79"/>
        <v>67.149999999999991</v>
      </c>
      <c r="J1091" s="9"/>
      <c r="K1091" s="3">
        <v>38</v>
      </c>
      <c r="L1091" s="3">
        <v>23</v>
      </c>
    </row>
    <row r="1092" spans="1:12" ht="18.75" customHeight="1">
      <c r="A1092" s="3" t="str">
        <f>"10522018022812244782562"</f>
        <v>10522018022812244782562</v>
      </c>
      <c r="B1092" s="8" t="s">
        <v>31</v>
      </c>
      <c r="C1092" s="9" t="str">
        <f t="shared" si="77"/>
        <v>女</v>
      </c>
      <c r="D1092" s="9" t="str">
        <f>"341623199305092020"</f>
        <v>341623199305092020</v>
      </c>
      <c r="E1092" s="14" t="str">
        <f t="shared" si="78"/>
        <v>护理</v>
      </c>
      <c r="F1092" s="9" t="str">
        <f>"2018013017"</f>
        <v>2018013017</v>
      </c>
      <c r="G1092" s="9">
        <v>23</v>
      </c>
      <c r="H1092" s="9">
        <v>86</v>
      </c>
      <c r="I1092" s="9">
        <f t="shared" si="79"/>
        <v>67.099999999999994</v>
      </c>
      <c r="J1092" s="9"/>
      <c r="K1092" s="3">
        <v>30</v>
      </c>
      <c r="L1092" s="3">
        <v>17</v>
      </c>
    </row>
    <row r="1093" spans="1:12" ht="18.75" customHeight="1">
      <c r="A1093" s="3" t="str">
        <f>"10522018022719182682359"</f>
        <v>10522018022719182682359</v>
      </c>
      <c r="B1093" s="8" t="s">
        <v>31</v>
      </c>
      <c r="C1093" s="9" t="str">
        <f t="shared" ref="C1093:C1156" si="80">"女"</f>
        <v>女</v>
      </c>
      <c r="D1093" s="9" t="str">
        <f>"341223199408193121"</f>
        <v>341223199408193121</v>
      </c>
      <c r="E1093" s="14" t="str">
        <f t="shared" ref="E1093:E1156" si="81">"护理"</f>
        <v>护理</v>
      </c>
      <c r="F1093" s="9" t="str">
        <f>"2018013022"</f>
        <v>2018013022</v>
      </c>
      <c r="G1093" s="9">
        <v>28.5</v>
      </c>
      <c r="H1093" s="9">
        <v>83</v>
      </c>
      <c r="I1093" s="9">
        <f t="shared" si="79"/>
        <v>66.649999999999991</v>
      </c>
      <c r="J1093" s="9"/>
      <c r="K1093" s="3">
        <v>30</v>
      </c>
      <c r="L1093" s="3">
        <v>22</v>
      </c>
    </row>
    <row r="1094" spans="1:12" ht="18.75" customHeight="1">
      <c r="A1094" s="3" t="str">
        <f>"10522018022618123182007"</f>
        <v>10522018022618123182007</v>
      </c>
      <c r="B1094" s="8" t="s">
        <v>31</v>
      </c>
      <c r="C1094" s="9" t="str">
        <f t="shared" si="80"/>
        <v>女</v>
      </c>
      <c r="D1094" s="9" t="str">
        <f>"341602199609026063"</f>
        <v>341602199609026063</v>
      </c>
      <c r="E1094" s="14" t="str">
        <f t="shared" si="81"/>
        <v>护理</v>
      </c>
      <c r="F1094" s="9" t="str">
        <f>"2018012511"</f>
        <v>2018012511</v>
      </c>
      <c r="G1094" s="9">
        <v>23</v>
      </c>
      <c r="H1094" s="9">
        <v>85</v>
      </c>
      <c r="I1094" s="9">
        <f t="shared" si="79"/>
        <v>66.399999999999991</v>
      </c>
      <c r="J1094" s="9"/>
      <c r="K1094" s="3">
        <v>25</v>
      </c>
      <c r="L1094" s="3">
        <v>11</v>
      </c>
    </row>
    <row r="1095" spans="1:12" ht="18.75" customHeight="1">
      <c r="A1095" s="3" t="str">
        <f>"10522018022709390682151"</f>
        <v>10522018022709390682151</v>
      </c>
      <c r="B1095" s="8" t="s">
        <v>31</v>
      </c>
      <c r="C1095" s="9" t="str">
        <f t="shared" si="80"/>
        <v>女</v>
      </c>
      <c r="D1095" s="9" t="str">
        <f>"341223199503130727"</f>
        <v>341223199503130727</v>
      </c>
      <c r="E1095" s="14" t="str">
        <f t="shared" si="81"/>
        <v>护理</v>
      </c>
      <c r="F1095" s="9" t="str">
        <f>"2018012709"</f>
        <v>2018012709</v>
      </c>
      <c r="G1095" s="9">
        <v>37</v>
      </c>
      <c r="H1095" s="9">
        <v>79</v>
      </c>
      <c r="I1095" s="9">
        <f t="shared" si="79"/>
        <v>66.399999999999991</v>
      </c>
      <c r="J1095" s="9"/>
      <c r="K1095" s="3">
        <v>27</v>
      </c>
      <c r="L1095" s="3">
        <v>9</v>
      </c>
    </row>
    <row r="1096" spans="1:12" ht="18.75" customHeight="1">
      <c r="A1096" s="3" t="str">
        <f>"10522018022818585182696"</f>
        <v>10522018022818585182696</v>
      </c>
      <c r="B1096" s="8" t="s">
        <v>31</v>
      </c>
      <c r="C1096" s="9" t="str">
        <f t="shared" si="80"/>
        <v>女</v>
      </c>
      <c r="D1096" s="9" t="str">
        <f>"341223199507255121"</f>
        <v>341223199507255121</v>
      </c>
      <c r="E1096" s="14" t="str">
        <f t="shared" si="81"/>
        <v>护理</v>
      </c>
      <c r="F1096" s="9" t="str">
        <f>"2018013818"</f>
        <v>2018013818</v>
      </c>
      <c r="G1096" s="9">
        <v>34.5</v>
      </c>
      <c r="H1096" s="9">
        <v>80</v>
      </c>
      <c r="I1096" s="9">
        <f t="shared" si="79"/>
        <v>66.349999999999994</v>
      </c>
      <c r="J1096" s="9"/>
      <c r="K1096" s="3">
        <v>38</v>
      </c>
      <c r="L1096" s="3">
        <v>18</v>
      </c>
    </row>
    <row r="1097" spans="1:12" ht="18.75" customHeight="1">
      <c r="A1097" s="3" t="str">
        <f>"10522018022717093082312"</f>
        <v>10522018022717093082312</v>
      </c>
      <c r="B1097" s="8" t="s">
        <v>31</v>
      </c>
      <c r="C1097" s="9" t="str">
        <f t="shared" si="80"/>
        <v>女</v>
      </c>
      <c r="D1097" s="9" t="str">
        <f>"341223199512041988"</f>
        <v>341223199512041988</v>
      </c>
      <c r="E1097" s="14" t="str">
        <f t="shared" si="81"/>
        <v>护理</v>
      </c>
      <c r="F1097" s="9" t="str">
        <f>"2018012703"</f>
        <v>2018012703</v>
      </c>
      <c r="G1097" s="9">
        <v>23.5</v>
      </c>
      <c r="H1097" s="9">
        <v>84</v>
      </c>
      <c r="I1097" s="9">
        <f t="shared" si="79"/>
        <v>65.849999999999994</v>
      </c>
      <c r="J1097" s="9"/>
      <c r="K1097" s="3">
        <v>27</v>
      </c>
      <c r="L1097" s="3">
        <v>3</v>
      </c>
    </row>
    <row r="1098" spans="1:12" ht="18.75" customHeight="1">
      <c r="A1098" s="3" t="str">
        <f>"10522018030211205083114"</f>
        <v>10522018030211205083114</v>
      </c>
      <c r="B1098" s="8" t="s">
        <v>31</v>
      </c>
      <c r="C1098" s="9" t="str">
        <f t="shared" si="80"/>
        <v>女</v>
      </c>
      <c r="D1098" s="9" t="str">
        <f>"341227199403176141"</f>
        <v>341227199403176141</v>
      </c>
      <c r="E1098" s="14" t="str">
        <f t="shared" si="81"/>
        <v>护理</v>
      </c>
      <c r="F1098" s="9" t="str">
        <f>"2018013008"</f>
        <v>2018013008</v>
      </c>
      <c r="G1098" s="9">
        <v>29</v>
      </c>
      <c r="H1098" s="9">
        <v>81</v>
      </c>
      <c r="I1098" s="9">
        <f t="shared" si="79"/>
        <v>65.399999999999991</v>
      </c>
      <c r="J1098" s="9"/>
      <c r="K1098" s="3">
        <v>30</v>
      </c>
      <c r="L1098" s="3">
        <v>8</v>
      </c>
    </row>
    <row r="1099" spans="1:12" ht="18.75" customHeight="1">
      <c r="A1099" s="3" t="str">
        <f>"10522018022612323081794"</f>
        <v>10522018022612323081794</v>
      </c>
      <c r="B1099" s="8" t="s">
        <v>31</v>
      </c>
      <c r="C1099" s="9" t="str">
        <f t="shared" si="80"/>
        <v>女</v>
      </c>
      <c r="D1099" s="9" t="str">
        <f>"341621199409222923"</f>
        <v>341621199409222923</v>
      </c>
      <c r="E1099" s="14" t="str">
        <f t="shared" si="81"/>
        <v>护理</v>
      </c>
      <c r="F1099" s="9" t="str">
        <f>"2018012403"</f>
        <v>2018012403</v>
      </c>
      <c r="G1099" s="9">
        <v>33</v>
      </c>
      <c r="H1099" s="9">
        <v>79</v>
      </c>
      <c r="I1099" s="9">
        <f t="shared" si="79"/>
        <v>65.2</v>
      </c>
      <c r="J1099" s="9"/>
      <c r="K1099" s="3">
        <v>24</v>
      </c>
      <c r="L1099" s="3">
        <v>3</v>
      </c>
    </row>
    <row r="1100" spans="1:12" ht="18.75" customHeight="1">
      <c r="A1100" s="3" t="str">
        <f>"10522018022609273981610"</f>
        <v>10522018022609273981610</v>
      </c>
      <c r="B1100" s="8" t="s">
        <v>31</v>
      </c>
      <c r="C1100" s="9" t="str">
        <f t="shared" si="80"/>
        <v>女</v>
      </c>
      <c r="D1100" s="9" t="str">
        <f>"341621199312235322"</f>
        <v>341621199312235322</v>
      </c>
      <c r="E1100" s="14" t="str">
        <f t="shared" si="81"/>
        <v>护理</v>
      </c>
      <c r="F1100" s="9" t="str">
        <f>"2018012811"</f>
        <v>2018012811</v>
      </c>
      <c r="G1100" s="9">
        <v>32.5</v>
      </c>
      <c r="H1100" s="9">
        <v>79</v>
      </c>
      <c r="I1100" s="9">
        <f t="shared" si="79"/>
        <v>65.05</v>
      </c>
      <c r="J1100" s="9"/>
      <c r="K1100" s="3">
        <v>28</v>
      </c>
      <c r="L1100" s="3">
        <v>11</v>
      </c>
    </row>
    <row r="1101" spans="1:12" ht="18.75" customHeight="1">
      <c r="A1101" s="3" t="str">
        <f>"10522018022611145581746"</f>
        <v>10522018022611145581746</v>
      </c>
      <c r="B1101" s="8" t="s">
        <v>31</v>
      </c>
      <c r="C1101" s="9" t="str">
        <f t="shared" si="80"/>
        <v>女</v>
      </c>
      <c r="D1101" s="9" t="str">
        <f>"341223199409280526"</f>
        <v>341223199409280526</v>
      </c>
      <c r="E1101" s="14" t="str">
        <f t="shared" si="81"/>
        <v>护理</v>
      </c>
      <c r="F1101" s="9" t="str">
        <f>"2018012620"</f>
        <v>2018012620</v>
      </c>
      <c r="G1101" s="9">
        <v>25</v>
      </c>
      <c r="H1101" s="9">
        <v>82</v>
      </c>
      <c r="I1101" s="9">
        <f t="shared" si="79"/>
        <v>64.900000000000006</v>
      </c>
      <c r="J1101" s="9"/>
      <c r="K1101" s="3">
        <v>26</v>
      </c>
      <c r="L1101" s="3">
        <v>20</v>
      </c>
    </row>
    <row r="1102" spans="1:12" ht="18.75" customHeight="1">
      <c r="A1102" s="3" t="str">
        <f>"10522018022713242582234"</f>
        <v>10522018022713242582234</v>
      </c>
      <c r="B1102" s="8" t="s">
        <v>31</v>
      </c>
      <c r="C1102" s="9" t="str">
        <f t="shared" si="80"/>
        <v>女</v>
      </c>
      <c r="D1102" s="9" t="str">
        <f>"341621199403100044"</f>
        <v>341621199403100044</v>
      </c>
      <c r="E1102" s="14" t="str">
        <f t="shared" si="81"/>
        <v>护理</v>
      </c>
      <c r="F1102" s="9" t="str">
        <f>"2018012917"</f>
        <v>2018012917</v>
      </c>
      <c r="G1102" s="9">
        <v>36.5</v>
      </c>
      <c r="H1102" s="9">
        <v>77</v>
      </c>
      <c r="I1102" s="9">
        <f t="shared" si="79"/>
        <v>64.849999999999994</v>
      </c>
      <c r="J1102" s="9"/>
      <c r="K1102" s="3">
        <v>29</v>
      </c>
      <c r="L1102" s="3">
        <v>17</v>
      </c>
    </row>
    <row r="1103" spans="1:12" ht="18.75" customHeight="1">
      <c r="A1103" s="3" t="str">
        <f>"10522018022714180082253"</f>
        <v>10522018022714180082253</v>
      </c>
      <c r="B1103" s="8" t="s">
        <v>31</v>
      </c>
      <c r="C1103" s="9" t="str">
        <f t="shared" si="80"/>
        <v>女</v>
      </c>
      <c r="D1103" s="9" t="str">
        <f>"341227199402268327"</f>
        <v>341227199402268327</v>
      </c>
      <c r="E1103" s="14" t="str">
        <f t="shared" si="81"/>
        <v>护理</v>
      </c>
      <c r="F1103" s="9" t="str">
        <f>"2018012824"</f>
        <v>2018012824</v>
      </c>
      <c r="G1103" s="9">
        <v>20</v>
      </c>
      <c r="H1103" s="9">
        <v>84</v>
      </c>
      <c r="I1103" s="9">
        <f t="shared" si="79"/>
        <v>64.8</v>
      </c>
      <c r="J1103" s="9"/>
      <c r="K1103" s="3">
        <v>28</v>
      </c>
      <c r="L1103" s="3">
        <v>24</v>
      </c>
    </row>
    <row r="1104" spans="1:12" ht="18.75" customHeight="1">
      <c r="A1104" s="3" t="str">
        <f>"10522018030209283883085"</f>
        <v>10522018030209283883085</v>
      </c>
      <c r="B1104" s="8" t="s">
        <v>31</v>
      </c>
      <c r="C1104" s="9" t="str">
        <f t="shared" si="80"/>
        <v>女</v>
      </c>
      <c r="D1104" s="9" t="str">
        <f>"34122719950928102X"</f>
        <v>34122719950928102X</v>
      </c>
      <c r="E1104" s="14" t="str">
        <f t="shared" si="81"/>
        <v>护理</v>
      </c>
      <c r="F1104" s="9" t="str">
        <f>"2018012514"</f>
        <v>2018012514</v>
      </c>
      <c r="G1104" s="9">
        <v>31</v>
      </c>
      <c r="H1104" s="9">
        <v>79</v>
      </c>
      <c r="I1104" s="9">
        <f t="shared" si="79"/>
        <v>64.599999999999994</v>
      </c>
      <c r="J1104" s="9"/>
      <c r="K1104" s="3">
        <v>25</v>
      </c>
      <c r="L1104" s="3">
        <v>14</v>
      </c>
    </row>
    <row r="1105" spans="1:12" ht="18.75" customHeight="1">
      <c r="A1105" s="3" t="str">
        <f>"10522018022823072282770"</f>
        <v>10522018022823072282770</v>
      </c>
      <c r="B1105" s="8" t="s">
        <v>31</v>
      </c>
      <c r="C1105" s="9" t="str">
        <f t="shared" si="80"/>
        <v>女</v>
      </c>
      <c r="D1105" s="9" t="str">
        <f>"341222199806242404"</f>
        <v>341222199806242404</v>
      </c>
      <c r="E1105" s="14" t="str">
        <f t="shared" si="81"/>
        <v>护理</v>
      </c>
      <c r="F1105" s="9" t="str">
        <f>"2018013016"</f>
        <v>2018013016</v>
      </c>
      <c r="G1105" s="9">
        <v>38</v>
      </c>
      <c r="H1105" s="9">
        <v>76</v>
      </c>
      <c r="I1105" s="9">
        <f t="shared" si="79"/>
        <v>64.599999999999994</v>
      </c>
      <c r="J1105" s="9"/>
      <c r="K1105" s="3">
        <v>30</v>
      </c>
      <c r="L1105" s="3">
        <v>16</v>
      </c>
    </row>
    <row r="1106" spans="1:12" ht="18.75" customHeight="1">
      <c r="A1106" s="3" t="str">
        <f>"10522018030212272283128"</f>
        <v>10522018030212272283128</v>
      </c>
      <c r="B1106" s="8" t="s">
        <v>31</v>
      </c>
      <c r="C1106" s="9" t="str">
        <f t="shared" si="80"/>
        <v>女</v>
      </c>
      <c r="D1106" s="9" t="str">
        <f>"34162319940404872X"</f>
        <v>34162319940404872X</v>
      </c>
      <c r="E1106" s="14" t="str">
        <f t="shared" si="81"/>
        <v>护理</v>
      </c>
      <c r="F1106" s="9" t="str">
        <f>"2018013214"</f>
        <v>2018013214</v>
      </c>
      <c r="G1106" s="9">
        <v>28.5</v>
      </c>
      <c r="H1106" s="9">
        <v>80</v>
      </c>
      <c r="I1106" s="9">
        <f t="shared" si="79"/>
        <v>64.55</v>
      </c>
      <c r="J1106" s="9"/>
      <c r="K1106" s="3">
        <v>32</v>
      </c>
      <c r="L1106" s="3">
        <v>14</v>
      </c>
    </row>
    <row r="1107" spans="1:12" ht="18.75" customHeight="1">
      <c r="A1107" s="3" t="str">
        <f>"10522018022714111582251"</f>
        <v>10522018022714111582251</v>
      </c>
      <c r="B1107" s="8" t="s">
        <v>31</v>
      </c>
      <c r="C1107" s="9" t="str">
        <f t="shared" si="80"/>
        <v>女</v>
      </c>
      <c r="D1107" s="9" t="str">
        <f>"341621199402065160"</f>
        <v>341621199402065160</v>
      </c>
      <c r="E1107" s="14" t="str">
        <f t="shared" si="81"/>
        <v>护理</v>
      </c>
      <c r="F1107" s="9" t="str">
        <f>"2018012914"</f>
        <v>2018012914</v>
      </c>
      <c r="G1107" s="9">
        <v>40</v>
      </c>
      <c r="H1107" s="9">
        <v>75</v>
      </c>
      <c r="I1107" s="9">
        <f t="shared" si="79"/>
        <v>64.5</v>
      </c>
      <c r="J1107" s="9"/>
      <c r="K1107" s="3">
        <v>29</v>
      </c>
      <c r="L1107" s="3">
        <v>14</v>
      </c>
    </row>
    <row r="1108" spans="1:12" ht="18.75" customHeight="1">
      <c r="A1108" s="3" t="str">
        <f>"10522018022609352781619"</f>
        <v>10522018022609352781619</v>
      </c>
      <c r="B1108" s="8" t="s">
        <v>31</v>
      </c>
      <c r="C1108" s="9" t="str">
        <f t="shared" si="80"/>
        <v>女</v>
      </c>
      <c r="D1108" s="9" t="str">
        <f>"341281199611268647"</f>
        <v>341281199611268647</v>
      </c>
      <c r="E1108" s="14" t="str">
        <f t="shared" si="81"/>
        <v>护理</v>
      </c>
      <c r="F1108" s="9" t="str">
        <f>"2018012518"</f>
        <v>2018012518</v>
      </c>
      <c r="G1108" s="9">
        <v>35</v>
      </c>
      <c r="H1108" s="9">
        <v>77</v>
      </c>
      <c r="I1108" s="9">
        <f t="shared" si="79"/>
        <v>64.400000000000006</v>
      </c>
      <c r="J1108" s="9"/>
      <c r="K1108" s="3">
        <v>25</v>
      </c>
      <c r="L1108" s="3">
        <v>18</v>
      </c>
    </row>
    <row r="1109" spans="1:12" ht="18.75" customHeight="1">
      <c r="A1109" s="3" t="str">
        <f>"10522018022808231982464"</f>
        <v>10522018022808231982464</v>
      </c>
      <c r="B1109" s="8" t="s">
        <v>31</v>
      </c>
      <c r="C1109" s="9" t="str">
        <f t="shared" si="80"/>
        <v>女</v>
      </c>
      <c r="D1109" s="9" t="str">
        <f>"341227199308160467"</f>
        <v>341227199308160467</v>
      </c>
      <c r="E1109" s="14" t="str">
        <f t="shared" si="81"/>
        <v>护理</v>
      </c>
      <c r="F1109" s="9" t="str">
        <f>"2018013210"</f>
        <v>2018013210</v>
      </c>
      <c r="G1109" s="9">
        <v>35</v>
      </c>
      <c r="H1109" s="9">
        <v>77</v>
      </c>
      <c r="I1109" s="9">
        <f t="shared" si="79"/>
        <v>64.400000000000006</v>
      </c>
      <c r="J1109" s="9"/>
      <c r="K1109" s="3">
        <v>32</v>
      </c>
      <c r="L1109" s="3">
        <v>10</v>
      </c>
    </row>
    <row r="1110" spans="1:12" ht="18.75" customHeight="1">
      <c r="A1110" s="3" t="str">
        <f>"10522018022617095681976"</f>
        <v>10522018022617095681976</v>
      </c>
      <c r="B1110" s="8" t="s">
        <v>31</v>
      </c>
      <c r="C1110" s="9" t="str">
        <f t="shared" si="80"/>
        <v>女</v>
      </c>
      <c r="D1110" s="9" t="str">
        <f>"34128119951021464X"</f>
        <v>34128119951021464X</v>
      </c>
      <c r="E1110" s="14" t="str">
        <f t="shared" si="81"/>
        <v>护理</v>
      </c>
      <c r="F1110" s="9" t="str">
        <f>"2018013023"</f>
        <v>2018013023</v>
      </c>
      <c r="G1110" s="9">
        <v>37</v>
      </c>
      <c r="H1110" s="9">
        <v>76</v>
      </c>
      <c r="I1110" s="9">
        <f t="shared" si="79"/>
        <v>64.3</v>
      </c>
      <c r="J1110" s="9"/>
      <c r="K1110" s="3">
        <v>30</v>
      </c>
      <c r="L1110" s="3">
        <v>23</v>
      </c>
    </row>
    <row r="1111" spans="1:12" ht="18.75" customHeight="1">
      <c r="A1111" s="3" t="str">
        <f>"10522018030210262083103"</f>
        <v>10522018030210262083103</v>
      </c>
      <c r="B1111" s="8" t="s">
        <v>31</v>
      </c>
      <c r="C1111" s="9" t="str">
        <f t="shared" si="80"/>
        <v>女</v>
      </c>
      <c r="D1111" s="9" t="str">
        <f>"341621199306151122"</f>
        <v>341621199306151122</v>
      </c>
      <c r="E1111" s="14" t="str">
        <f t="shared" si="81"/>
        <v>护理</v>
      </c>
      <c r="F1111" s="9" t="str">
        <f>"2018013105"</f>
        <v>2018013105</v>
      </c>
      <c r="G1111" s="9">
        <v>36.5</v>
      </c>
      <c r="H1111" s="9">
        <v>76</v>
      </c>
      <c r="I1111" s="9">
        <f t="shared" si="79"/>
        <v>64.149999999999991</v>
      </c>
      <c r="J1111" s="9"/>
      <c r="K1111" s="3">
        <v>31</v>
      </c>
      <c r="L1111" s="3">
        <v>5</v>
      </c>
    </row>
    <row r="1112" spans="1:12" ht="18.75" customHeight="1">
      <c r="A1112" s="3" t="str">
        <f>"10522018022817481382667"</f>
        <v>10522018022817481382667</v>
      </c>
      <c r="B1112" s="8" t="s">
        <v>31</v>
      </c>
      <c r="C1112" s="9" t="str">
        <f t="shared" si="80"/>
        <v>女</v>
      </c>
      <c r="D1112" s="9" t="str">
        <f>"341223199507091921"</f>
        <v>341223199507091921</v>
      </c>
      <c r="E1112" s="14" t="str">
        <f t="shared" si="81"/>
        <v>护理</v>
      </c>
      <c r="F1112" s="9" t="str">
        <f>"2018013219"</f>
        <v>2018013219</v>
      </c>
      <c r="G1112" s="9">
        <v>31</v>
      </c>
      <c r="H1112" s="9">
        <v>78</v>
      </c>
      <c r="I1112" s="9">
        <f t="shared" si="79"/>
        <v>63.899999999999991</v>
      </c>
      <c r="J1112" s="9"/>
      <c r="K1112" s="3">
        <v>32</v>
      </c>
      <c r="L1112" s="3">
        <v>19</v>
      </c>
    </row>
    <row r="1113" spans="1:12" ht="18.75" customHeight="1">
      <c r="A1113" s="3" t="str">
        <f>"10522018030212423883133"</f>
        <v>10522018030212423883133</v>
      </c>
      <c r="B1113" s="8" t="s">
        <v>31</v>
      </c>
      <c r="C1113" s="9" t="str">
        <f t="shared" si="80"/>
        <v>女</v>
      </c>
      <c r="D1113" s="9" t="str">
        <f>"341227199502014981"</f>
        <v>341227199502014981</v>
      </c>
      <c r="E1113" s="14" t="str">
        <f t="shared" si="81"/>
        <v>护理</v>
      </c>
      <c r="F1113" s="9" t="str">
        <f>"2018012723"</f>
        <v>2018012723</v>
      </c>
      <c r="G1113" s="9">
        <v>33</v>
      </c>
      <c r="H1113" s="9">
        <v>77</v>
      </c>
      <c r="I1113" s="9">
        <f t="shared" si="79"/>
        <v>63.8</v>
      </c>
      <c r="J1113" s="9"/>
      <c r="K1113" s="3">
        <v>27</v>
      </c>
      <c r="L1113" s="3">
        <v>23</v>
      </c>
    </row>
    <row r="1114" spans="1:12" ht="18.75" customHeight="1">
      <c r="A1114" s="3" t="str">
        <f>"10522018022811265782540"</f>
        <v>10522018022811265782540</v>
      </c>
      <c r="B1114" s="8" t="s">
        <v>31</v>
      </c>
      <c r="C1114" s="9" t="str">
        <f t="shared" si="80"/>
        <v>女</v>
      </c>
      <c r="D1114" s="9" t="str">
        <f>"341222199301012101"</f>
        <v>341222199301012101</v>
      </c>
      <c r="E1114" s="14" t="str">
        <f t="shared" si="81"/>
        <v>护理</v>
      </c>
      <c r="F1114" s="9" t="str">
        <f>"2018013821"</f>
        <v>2018013821</v>
      </c>
      <c r="G1114" s="9">
        <v>35</v>
      </c>
      <c r="H1114" s="9">
        <v>76</v>
      </c>
      <c r="I1114" s="9">
        <f t="shared" si="79"/>
        <v>63.699999999999996</v>
      </c>
      <c r="J1114" s="9"/>
      <c r="K1114" s="3">
        <v>38</v>
      </c>
      <c r="L1114" s="3">
        <v>21</v>
      </c>
    </row>
    <row r="1115" spans="1:12" ht="18.75" customHeight="1">
      <c r="A1115" s="3" t="str">
        <f>"10522018022811331282541"</f>
        <v>10522018022811331282541</v>
      </c>
      <c r="B1115" s="8" t="s">
        <v>31</v>
      </c>
      <c r="C1115" s="9" t="str">
        <f t="shared" si="80"/>
        <v>女</v>
      </c>
      <c r="D1115" s="9" t="str">
        <f>"341202199607102526"</f>
        <v>341202199607102526</v>
      </c>
      <c r="E1115" s="14" t="str">
        <f t="shared" si="81"/>
        <v>护理</v>
      </c>
      <c r="F1115" s="9" t="str">
        <f>"2018012806"</f>
        <v>2018012806</v>
      </c>
      <c r="G1115" s="9">
        <v>18.5</v>
      </c>
      <c r="H1115" s="9">
        <v>83</v>
      </c>
      <c r="I1115" s="9">
        <f t="shared" si="79"/>
        <v>63.649999999999991</v>
      </c>
      <c r="J1115" s="9"/>
      <c r="K1115" s="3">
        <v>28</v>
      </c>
      <c r="L1115" s="3">
        <v>6</v>
      </c>
    </row>
    <row r="1116" spans="1:12" ht="18.75" customHeight="1">
      <c r="A1116" s="3" t="str">
        <f>"10522018022720391282402"</f>
        <v>10522018022720391282402</v>
      </c>
      <c r="B1116" s="8" t="s">
        <v>31</v>
      </c>
      <c r="C1116" s="9" t="str">
        <f t="shared" si="80"/>
        <v>女</v>
      </c>
      <c r="D1116" s="9" t="str">
        <f>"341223199608141721"</f>
        <v>341223199608141721</v>
      </c>
      <c r="E1116" s="14" t="str">
        <f t="shared" si="81"/>
        <v>护理</v>
      </c>
      <c r="F1116" s="9" t="str">
        <f>"2018012713"</f>
        <v>2018012713</v>
      </c>
      <c r="G1116" s="9">
        <v>37</v>
      </c>
      <c r="H1116" s="9">
        <v>75</v>
      </c>
      <c r="I1116" s="9">
        <f t="shared" si="79"/>
        <v>63.6</v>
      </c>
      <c r="J1116" s="9"/>
      <c r="K1116" s="3">
        <v>27</v>
      </c>
      <c r="L1116" s="3">
        <v>13</v>
      </c>
    </row>
    <row r="1117" spans="1:12" ht="18.75" customHeight="1">
      <c r="A1117" s="3" t="str">
        <f>"10522018022820054982723"</f>
        <v>10522018022820054982723</v>
      </c>
      <c r="B1117" s="8" t="s">
        <v>31</v>
      </c>
      <c r="C1117" s="9" t="str">
        <f t="shared" si="80"/>
        <v>女</v>
      </c>
      <c r="D1117" s="9" t="str">
        <f>"341227199412011568"</f>
        <v>341227199412011568</v>
      </c>
      <c r="E1117" s="14" t="str">
        <f t="shared" si="81"/>
        <v>护理</v>
      </c>
      <c r="F1117" s="9" t="str">
        <f>"2018012411"</f>
        <v>2018012411</v>
      </c>
      <c r="G1117" s="9">
        <v>36.5</v>
      </c>
      <c r="H1117" s="9">
        <v>75</v>
      </c>
      <c r="I1117" s="9">
        <f t="shared" si="79"/>
        <v>63.45</v>
      </c>
      <c r="J1117" s="9"/>
      <c r="K1117" s="3">
        <v>24</v>
      </c>
      <c r="L1117" s="3">
        <v>11</v>
      </c>
    </row>
    <row r="1118" spans="1:12" ht="18.75" customHeight="1">
      <c r="A1118" s="3" t="str">
        <f>"10522018022710212682172"</f>
        <v>10522018022710212682172</v>
      </c>
      <c r="B1118" s="8" t="s">
        <v>31</v>
      </c>
      <c r="C1118" s="9" t="str">
        <f t="shared" si="80"/>
        <v>女</v>
      </c>
      <c r="D1118" s="9" t="str">
        <f>"341621199508205520"</f>
        <v>341621199508205520</v>
      </c>
      <c r="E1118" s="14" t="str">
        <f t="shared" si="81"/>
        <v>护理</v>
      </c>
      <c r="F1118" s="9" t="str">
        <f>"2018012726"</f>
        <v>2018012726</v>
      </c>
      <c r="G1118" s="9">
        <v>43.5</v>
      </c>
      <c r="H1118" s="9">
        <v>72</v>
      </c>
      <c r="I1118" s="9">
        <f t="shared" si="79"/>
        <v>63.449999999999996</v>
      </c>
      <c r="J1118" s="9"/>
      <c r="K1118" s="3">
        <v>27</v>
      </c>
      <c r="L1118" s="3">
        <v>26</v>
      </c>
    </row>
    <row r="1119" spans="1:12" ht="18.75" customHeight="1">
      <c r="A1119" s="3" t="str">
        <f>"10522018030118214082988"</f>
        <v>10522018030118214082988</v>
      </c>
      <c r="B1119" s="8" t="s">
        <v>31</v>
      </c>
      <c r="C1119" s="9" t="str">
        <f t="shared" si="80"/>
        <v>女</v>
      </c>
      <c r="D1119" s="9" t="str">
        <f>"341223199708130229"</f>
        <v>341223199708130229</v>
      </c>
      <c r="E1119" s="14" t="str">
        <f t="shared" si="81"/>
        <v>护理</v>
      </c>
      <c r="F1119" s="9" t="str">
        <f>"2018012826"</f>
        <v>2018012826</v>
      </c>
      <c r="G1119" s="9">
        <v>21.5</v>
      </c>
      <c r="H1119" s="9">
        <v>81</v>
      </c>
      <c r="I1119" s="9">
        <f t="shared" si="79"/>
        <v>63.15</v>
      </c>
      <c r="J1119" s="9"/>
      <c r="K1119" s="3">
        <v>28</v>
      </c>
      <c r="L1119" s="3">
        <v>26</v>
      </c>
    </row>
    <row r="1120" spans="1:12" ht="18.75" customHeight="1">
      <c r="A1120" s="3" t="str">
        <f>"10522018022612384881801"</f>
        <v>10522018022612384881801</v>
      </c>
      <c r="B1120" s="8" t="s">
        <v>31</v>
      </c>
      <c r="C1120" s="9" t="str">
        <f t="shared" si="80"/>
        <v>女</v>
      </c>
      <c r="D1120" s="9" t="str">
        <f>"341621199703071724"</f>
        <v>341621199703071724</v>
      </c>
      <c r="E1120" s="14" t="str">
        <f t="shared" si="81"/>
        <v>护理</v>
      </c>
      <c r="F1120" s="9" t="str">
        <f>"2018013005"</f>
        <v>2018013005</v>
      </c>
      <c r="G1120" s="9">
        <v>37</v>
      </c>
      <c r="H1120" s="9">
        <v>74</v>
      </c>
      <c r="I1120" s="9">
        <f t="shared" si="79"/>
        <v>62.9</v>
      </c>
      <c r="J1120" s="9"/>
      <c r="K1120" s="3">
        <v>30</v>
      </c>
      <c r="L1120" s="3">
        <v>5</v>
      </c>
    </row>
    <row r="1121" spans="1:12" ht="18.75" customHeight="1">
      <c r="A1121" s="3" t="str">
        <f>"10522018022710220882173"</f>
        <v>10522018022710220882173</v>
      </c>
      <c r="B1121" s="8" t="s">
        <v>31</v>
      </c>
      <c r="C1121" s="9" t="str">
        <f t="shared" si="80"/>
        <v>女</v>
      </c>
      <c r="D1121" s="9" t="str">
        <f>"341223199409024522"</f>
        <v>341223199409024522</v>
      </c>
      <c r="E1121" s="14" t="str">
        <f t="shared" si="81"/>
        <v>护理</v>
      </c>
      <c r="F1121" s="9" t="str">
        <f>"2018012802"</f>
        <v>2018012802</v>
      </c>
      <c r="G1121" s="9">
        <v>27</v>
      </c>
      <c r="H1121" s="9">
        <v>78</v>
      </c>
      <c r="I1121" s="9">
        <f t="shared" si="79"/>
        <v>62.699999999999996</v>
      </c>
      <c r="J1121" s="9"/>
      <c r="K1121" s="3">
        <v>28</v>
      </c>
      <c r="L1121" s="3">
        <v>2</v>
      </c>
    </row>
    <row r="1122" spans="1:12" ht="18.75" customHeight="1">
      <c r="A1122" s="3" t="str">
        <f>"10522018022621572882101"</f>
        <v>10522018022621572882101</v>
      </c>
      <c r="B1122" s="8" t="s">
        <v>31</v>
      </c>
      <c r="C1122" s="9" t="str">
        <f t="shared" si="80"/>
        <v>女</v>
      </c>
      <c r="D1122" s="9" t="str">
        <f>"341223199801070929"</f>
        <v>341223199801070929</v>
      </c>
      <c r="E1122" s="14" t="str">
        <f t="shared" si="81"/>
        <v>护理</v>
      </c>
      <c r="F1122" s="9" t="str">
        <f>"2018012924"</f>
        <v>2018012924</v>
      </c>
      <c r="G1122" s="9">
        <v>31.5</v>
      </c>
      <c r="H1122" s="9">
        <v>76</v>
      </c>
      <c r="I1122" s="9">
        <f t="shared" si="79"/>
        <v>62.649999999999991</v>
      </c>
      <c r="J1122" s="9"/>
      <c r="K1122" s="3">
        <v>29</v>
      </c>
      <c r="L1122" s="3">
        <v>24</v>
      </c>
    </row>
    <row r="1123" spans="1:12" ht="18.75" customHeight="1">
      <c r="A1123" s="3" t="str">
        <f>"10522018030111263582841"</f>
        <v>10522018030111263582841</v>
      </c>
      <c r="B1123" s="8" t="s">
        <v>31</v>
      </c>
      <c r="C1123" s="9" t="str">
        <f t="shared" si="80"/>
        <v>女</v>
      </c>
      <c r="D1123" s="9" t="str">
        <f>"341621199711084146"</f>
        <v>341621199711084146</v>
      </c>
      <c r="E1123" s="14" t="str">
        <f t="shared" si="81"/>
        <v>护理</v>
      </c>
      <c r="F1123" s="9" t="str">
        <f>"2018012501"</f>
        <v>2018012501</v>
      </c>
      <c r="G1123" s="9">
        <v>40.5</v>
      </c>
      <c r="H1123" s="9">
        <v>72</v>
      </c>
      <c r="I1123" s="9">
        <f t="shared" si="79"/>
        <v>62.55</v>
      </c>
      <c r="J1123" s="9"/>
      <c r="K1123" s="3">
        <v>25</v>
      </c>
      <c r="L1123" s="3">
        <v>1</v>
      </c>
    </row>
    <row r="1124" spans="1:12" ht="18.75" customHeight="1">
      <c r="A1124" s="3" t="str">
        <f>"10522018022809040582476"</f>
        <v>10522018022809040582476</v>
      </c>
      <c r="B1124" s="8" t="s">
        <v>31</v>
      </c>
      <c r="C1124" s="9" t="str">
        <f t="shared" si="80"/>
        <v>女</v>
      </c>
      <c r="D1124" s="9" t="str">
        <f>"34122319970410172X"</f>
        <v>34122319970410172X</v>
      </c>
      <c r="E1124" s="14" t="str">
        <f t="shared" si="81"/>
        <v>护理</v>
      </c>
      <c r="F1124" s="9" t="str">
        <f>"2018012423"</f>
        <v>2018012423</v>
      </c>
      <c r="G1124" s="9">
        <v>32</v>
      </c>
      <c r="H1124" s="9">
        <v>75</v>
      </c>
      <c r="I1124" s="9">
        <f t="shared" si="79"/>
        <v>62.1</v>
      </c>
      <c r="J1124" s="9"/>
      <c r="K1124" s="3">
        <v>24</v>
      </c>
      <c r="L1124" s="3">
        <v>23</v>
      </c>
    </row>
    <row r="1125" spans="1:12" ht="18.75" customHeight="1">
      <c r="A1125" s="3" t="str">
        <f>"10522018030212100483123"</f>
        <v>10522018030212100483123</v>
      </c>
      <c r="B1125" s="8" t="s">
        <v>31</v>
      </c>
      <c r="C1125" s="9" t="str">
        <f t="shared" si="80"/>
        <v>女</v>
      </c>
      <c r="D1125" s="9" t="str">
        <f>"341621199508250022"</f>
        <v>341621199508250022</v>
      </c>
      <c r="E1125" s="14" t="str">
        <f t="shared" si="81"/>
        <v>护理</v>
      </c>
      <c r="F1125" s="9" t="str">
        <f>"2018012816"</f>
        <v>2018012816</v>
      </c>
      <c r="G1125" s="9">
        <v>31</v>
      </c>
      <c r="H1125" s="9">
        <v>75</v>
      </c>
      <c r="I1125" s="9">
        <f t="shared" si="79"/>
        <v>61.8</v>
      </c>
      <c r="J1125" s="9"/>
      <c r="K1125" s="3">
        <v>28</v>
      </c>
      <c r="L1125" s="3">
        <v>16</v>
      </c>
    </row>
    <row r="1126" spans="1:12" ht="18.75" customHeight="1">
      <c r="A1126" s="3" t="str">
        <f>"10522018022610442881706"</f>
        <v>10522018022610442881706</v>
      </c>
      <c r="B1126" s="8" t="s">
        <v>31</v>
      </c>
      <c r="C1126" s="9" t="str">
        <f t="shared" si="80"/>
        <v>女</v>
      </c>
      <c r="D1126" s="9" t="str">
        <f>"341281199302146582"</f>
        <v>341281199302146582</v>
      </c>
      <c r="E1126" s="14" t="str">
        <f t="shared" si="81"/>
        <v>护理</v>
      </c>
      <c r="F1126" s="9" t="str">
        <f>"2018012904"</f>
        <v>2018012904</v>
      </c>
      <c r="G1126" s="9">
        <v>34.5</v>
      </c>
      <c r="H1126" s="9">
        <v>73</v>
      </c>
      <c r="I1126" s="9">
        <f t="shared" si="79"/>
        <v>61.449999999999996</v>
      </c>
      <c r="J1126" s="9"/>
      <c r="K1126" s="3">
        <v>29</v>
      </c>
      <c r="L1126" s="3">
        <v>4</v>
      </c>
    </row>
    <row r="1127" spans="1:12" ht="18.75" customHeight="1">
      <c r="A1127" s="3" t="str">
        <f>"10522018022617422881991"</f>
        <v>10522018022617422881991</v>
      </c>
      <c r="B1127" s="8" t="s">
        <v>31</v>
      </c>
      <c r="C1127" s="9" t="str">
        <f t="shared" si="80"/>
        <v>女</v>
      </c>
      <c r="D1127" s="9" t="str">
        <f>"341223199410103148"</f>
        <v>341223199410103148</v>
      </c>
      <c r="E1127" s="14" t="str">
        <f t="shared" si="81"/>
        <v>护理</v>
      </c>
      <c r="F1127" s="9" t="str">
        <f>"2018012724"</f>
        <v>2018012724</v>
      </c>
      <c r="G1127" s="9">
        <v>20.5</v>
      </c>
      <c r="H1127" s="9">
        <v>78</v>
      </c>
      <c r="I1127" s="9">
        <f t="shared" si="79"/>
        <v>60.749999999999993</v>
      </c>
      <c r="J1127" s="9"/>
      <c r="K1127" s="3">
        <v>27</v>
      </c>
      <c r="L1127" s="3">
        <v>24</v>
      </c>
    </row>
    <row r="1128" spans="1:12" ht="18.75" customHeight="1">
      <c r="A1128" s="3" t="str">
        <f>"10522018022816000282645"</f>
        <v>10522018022816000282645</v>
      </c>
      <c r="B1128" s="8" t="s">
        <v>31</v>
      </c>
      <c r="C1128" s="9" t="str">
        <f t="shared" si="80"/>
        <v>女</v>
      </c>
      <c r="D1128" s="9" t="str">
        <f>"341621199705032323"</f>
        <v>341621199705032323</v>
      </c>
      <c r="E1128" s="14" t="str">
        <f t="shared" si="81"/>
        <v>护理</v>
      </c>
      <c r="F1128" s="9" t="str">
        <f>"2018012413"</f>
        <v>2018012413</v>
      </c>
      <c r="G1128" s="9">
        <v>24</v>
      </c>
      <c r="H1128" s="9">
        <v>76</v>
      </c>
      <c r="I1128" s="9">
        <f t="shared" si="79"/>
        <v>60.399999999999991</v>
      </c>
      <c r="J1128" s="9"/>
      <c r="K1128" s="3">
        <v>24</v>
      </c>
      <c r="L1128" s="3">
        <v>13</v>
      </c>
    </row>
    <row r="1129" spans="1:12" ht="18.75" customHeight="1">
      <c r="A1129" s="3" t="str">
        <f>"10522018022610192981667"</f>
        <v>10522018022610192981667</v>
      </c>
      <c r="B1129" s="8" t="s">
        <v>31</v>
      </c>
      <c r="C1129" s="9" t="str">
        <f t="shared" si="80"/>
        <v>女</v>
      </c>
      <c r="D1129" s="9" t="str">
        <f>"341227199607062322"</f>
        <v>341227199607062322</v>
      </c>
      <c r="E1129" s="14" t="str">
        <f t="shared" si="81"/>
        <v>护理</v>
      </c>
      <c r="F1129" s="9" t="str">
        <f>"2018012711"</f>
        <v>2018012711</v>
      </c>
      <c r="G1129" s="9">
        <v>31</v>
      </c>
      <c r="H1129" s="9">
        <v>72</v>
      </c>
      <c r="I1129" s="9">
        <f t="shared" si="79"/>
        <v>59.699999999999996</v>
      </c>
      <c r="J1129" s="9"/>
      <c r="K1129" s="3">
        <v>27</v>
      </c>
      <c r="L1129" s="3">
        <v>11</v>
      </c>
    </row>
    <row r="1130" spans="1:12" ht="18.75" customHeight="1">
      <c r="A1130" s="3" t="str">
        <f>"10522018030211052883107"</f>
        <v>10522018030211052883107</v>
      </c>
      <c r="B1130" s="8" t="s">
        <v>31</v>
      </c>
      <c r="C1130" s="9" t="str">
        <f t="shared" si="80"/>
        <v>女</v>
      </c>
      <c r="D1130" s="9" t="str">
        <f>"341223199405061940"</f>
        <v>341223199405061940</v>
      </c>
      <c r="E1130" s="14" t="str">
        <f t="shared" si="81"/>
        <v>护理</v>
      </c>
      <c r="F1130" s="9" t="str">
        <f>"2018012912"</f>
        <v>2018012912</v>
      </c>
      <c r="G1130" s="9">
        <v>26</v>
      </c>
      <c r="H1130" s="9">
        <v>74</v>
      </c>
      <c r="I1130" s="9">
        <f t="shared" si="79"/>
        <v>59.599999999999994</v>
      </c>
      <c r="J1130" s="9"/>
      <c r="K1130" s="3">
        <v>29</v>
      </c>
      <c r="L1130" s="3">
        <v>12</v>
      </c>
    </row>
    <row r="1131" spans="1:12" ht="18.75" customHeight="1">
      <c r="A1131" s="3" t="str">
        <f>"10522018022718115982325"</f>
        <v>10522018022718115982325</v>
      </c>
      <c r="B1131" s="8" t="s">
        <v>31</v>
      </c>
      <c r="C1131" s="9" t="str">
        <f t="shared" si="80"/>
        <v>女</v>
      </c>
      <c r="D1131" s="9" t="str">
        <f>"341223199708091725"</f>
        <v>341223199708091725</v>
      </c>
      <c r="E1131" s="14" t="str">
        <f t="shared" si="81"/>
        <v>护理</v>
      </c>
      <c r="F1131" s="9" t="str">
        <f>"2018012404"</f>
        <v>2018012404</v>
      </c>
      <c r="G1131" s="9">
        <v>44</v>
      </c>
      <c r="H1131" s="9">
        <v>66</v>
      </c>
      <c r="I1131" s="9">
        <f t="shared" si="79"/>
        <v>59.399999999999991</v>
      </c>
      <c r="J1131" s="9"/>
      <c r="K1131" s="3">
        <v>24</v>
      </c>
      <c r="L1131" s="3">
        <v>4</v>
      </c>
    </row>
    <row r="1132" spans="1:12" ht="18.75" customHeight="1">
      <c r="A1132" s="3" t="str">
        <f>"10522018022609124181588"</f>
        <v>10522018022609124181588</v>
      </c>
      <c r="B1132" s="8" t="s">
        <v>31</v>
      </c>
      <c r="C1132" s="9" t="str">
        <f t="shared" si="80"/>
        <v>女</v>
      </c>
      <c r="D1132" s="9" t="str">
        <f>"341223199610121148"</f>
        <v>341223199610121148</v>
      </c>
      <c r="E1132" s="14" t="str">
        <f t="shared" si="81"/>
        <v>护理</v>
      </c>
      <c r="F1132" s="9" t="str">
        <f>"2018013013"</f>
        <v>2018013013</v>
      </c>
      <c r="G1132" s="9">
        <v>40</v>
      </c>
      <c r="H1132" s="9">
        <v>67</v>
      </c>
      <c r="I1132" s="9">
        <f t="shared" si="79"/>
        <v>58.9</v>
      </c>
      <c r="J1132" s="9"/>
      <c r="K1132" s="3">
        <v>30</v>
      </c>
      <c r="L1132" s="3">
        <v>13</v>
      </c>
    </row>
    <row r="1133" spans="1:12" ht="18.75" customHeight="1">
      <c r="A1133" s="3" t="str">
        <f>"10522018022610414081697"</f>
        <v>10522018022610414081697</v>
      </c>
      <c r="B1133" s="8" t="s">
        <v>31</v>
      </c>
      <c r="C1133" s="9" t="str">
        <f t="shared" si="80"/>
        <v>女</v>
      </c>
      <c r="D1133" s="9" t="str">
        <f>"341623199606262628"</f>
        <v>341623199606262628</v>
      </c>
      <c r="E1133" s="14" t="str">
        <f t="shared" si="81"/>
        <v>护理</v>
      </c>
      <c r="F1133" s="9" t="str">
        <f>"2018012426"</f>
        <v>2018012426</v>
      </c>
      <c r="G1133" s="9">
        <v>27.5</v>
      </c>
      <c r="H1133" s="9">
        <v>72</v>
      </c>
      <c r="I1133" s="9">
        <f t="shared" si="79"/>
        <v>58.65</v>
      </c>
      <c r="J1133" s="9"/>
      <c r="K1133" s="3">
        <v>24</v>
      </c>
      <c r="L1133" s="3">
        <v>26</v>
      </c>
    </row>
    <row r="1134" spans="1:12" ht="18.75" customHeight="1">
      <c r="A1134" s="3" t="str">
        <f>"10522018022611533481772"</f>
        <v>10522018022611533481772</v>
      </c>
      <c r="B1134" s="8" t="s">
        <v>31</v>
      </c>
      <c r="C1134" s="9" t="str">
        <f t="shared" si="80"/>
        <v>女</v>
      </c>
      <c r="D1134" s="9" t="str">
        <f>"341223199512171723"</f>
        <v>341223199512171723</v>
      </c>
      <c r="E1134" s="14" t="str">
        <f t="shared" si="81"/>
        <v>护理</v>
      </c>
      <c r="F1134" s="9" t="str">
        <f>"2018013112"</f>
        <v>2018013112</v>
      </c>
      <c r="G1134" s="9">
        <v>29</v>
      </c>
      <c r="H1134" s="9">
        <v>70</v>
      </c>
      <c r="I1134" s="9">
        <f t="shared" si="79"/>
        <v>57.7</v>
      </c>
      <c r="J1134" s="9"/>
      <c r="K1134" s="3">
        <v>31</v>
      </c>
      <c r="L1134" s="3">
        <v>12</v>
      </c>
    </row>
    <row r="1135" spans="1:12" ht="18.75" customHeight="1">
      <c r="A1135" s="3" t="str">
        <f>"10522018022800242282452"</f>
        <v>10522018022800242282452</v>
      </c>
      <c r="B1135" s="8" t="s">
        <v>31</v>
      </c>
      <c r="C1135" s="9" t="str">
        <f t="shared" si="80"/>
        <v>女</v>
      </c>
      <c r="D1135" s="9" t="str">
        <f>"341621199605120561"</f>
        <v>341621199605120561</v>
      </c>
      <c r="E1135" s="14" t="str">
        <f t="shared" si="81"/>
        <v>护理</v>
      </c>
      <c r="F1135" s="9" t="str">
        <f>"2018012526"</f>
        <v>2018012526</v>
      </c>
      <c r="G1135" s="9">
        <v>21</v>
      </c>
      <c r="H1135" s="9">
        <v>73</v>
      </c>
      <c r="I1135" s="9">
        <f t="shared" si="79"/>
        <v>57.399999999999991</v>
      </c>
      <c r="J1135" s="9"/>
      <c r="K1135" s="3">
        <v>25</v>
      </c>
      <c r="L1135" s="3">
        <v>26</v>
      </c>
    </row>
    <row r="1136" spans="1:12" ht="18.75" customHeight="1">
      <c r="A1136" s="3" t="str">
        <f>"10522018030214251683159"</f>
        <v>10522018030214251683159</v>
      </c>
      <c r="B1136" s="8" t="s">
        <v>31</v>
      </c>
      <c r="C1136" s="9" t="str">
        <f t="shared" si="80"/>
        <v>女</v>
      </c>
      <c r="D1136" s="9" t="str">
        <f>"341227199610081022"</f>
        <v>341227199610081022</v>
      </c>
      <c r="E1136" s="14" t="str">
        <f t="shared" si="81"/>
        <v>护理</v>
      </c>
      <c r="F1136" s="9" t="str">
        <f>"2018012728"</f>
        <v>2018012728</v>
      </c>
      <c r="G1136" s="9">
        <v>25.5</v>
      </c>
      <c r="H1136" s="9">
        <v>71</v>
      </c>
      <c r="I1136" s="9">
        <f t="shared" si="79"/>
        <v>57.349999999999994</v>
      </c>
      <c r="J1136" s="9"/>
      <c r="K1136" s="3">
        <v>27</v>
      </c>
      <c r="L1136" s="3">
        <v>28</v>
      </c>
    </row>
    <row r="1137" spans="1:12" ht="18.75" customHeight="1">
      <c r="A1137" s="3" t="str">
        <f>"10522018022622384182111"</f>
        <v>10522018022622384182111</v>
      </c>
      <c r="B1137" s="8" t="s">
        <v>31</v>
      </c>
      <c r="C1137" s="9" t="str">
        <f t="shared" si="80"/>
        <v>女</v>
      </c>
      <c r="D1137" s="9" t="str">
        <f>"341227199305013023"</f>
        <v>341227199305013023</v>
      </c>
      <c r="E1137" s="14" t="str">
        <f t="shared" si="81"/>
        <v>护理</v>
      </c>
      <c r="F1137" s="9" t="str">
        <f>"2018013202"</f>
        <v>2018013202</v>
      </c>
      <c r="G1137" s="9">
        <v>18.5</v>
      </c>
      <c r="H1137" s="9">
        <v>73</v>
      </c>
      <c r="I1137" s="9">
        <f t="shared" si="79"/>
        <v>56.649999999999991</v>
      </c>
      <c r="J1137" s="9"/>
      <c r="K1137" s="3">
        <v>32</v>
      </c>
      <c r="L1137" s="3">
        <v>2</v>
      </c>
    </row>
    <row r="1138" spans="1:12" ht="18.75" customHeight="1">
      <c r="A1138" s="3" t="str">
        <f>"10522018022709392982152"</f>
        <v>10522018022709392982152</v>
      </c>
      <c r="B1138" s="8" t="s">
        <v>31</v>
      </c>
      <c r="C1138" s="9" t="str">
        <f t="shared" si="80"/>
        <v>女</v>
      </c>
      <c r="D1138" s="9" t="str">
        <f>"341227199508125420"</f>
        <v>341227199508125420</v>
      </c>
      <c r="E1138" s="14" t="str">
        <f t="shared" si="81"/>
        <v>护理</v>
      </c>
      <c r="F1138" s="9" t="str">
        <f>"2018013209"</f>
        <v>2018013209</v>
      </c>
      <c r="G1138" s="9">
        <v>34</v>
      </c>
      <c r="H1138" s="9">
        <v>66</v>
      </c>
      <c r="I1138" s="9">
        <f t="shared" si="79"/>
        <v>56.399999999999991</v>
      </c>
      <c r="J1138" s="9"/>
      <c r="K1138" s="3">
        <v>32</v>
      </c>
      <c r="L1138" s="3">
        <v>9</v>
      </c>
    </row>
    <row r="1139" spans="1:12" ht="18.75" customHeight="1">
      <c r="A1139" s="3" t="str">
        <f>"10522018022609071981576"</f>
        <v>10522018022609071981576</v>
      </c>
      <c r="B1139" s="8" t="s">
        <v>31</v>
      </c>
      <c r="C1139" s="9" t="str">
        <f t="shared" si="80"/>
        <v>女</v>
      </c>
      <c r="D1139" s="9" t="str">
        <f>"341223199708080524"</f>
        <v>341223199708080524</v>
      </c>
      <c r="E1139" s="14" t="str">
        <f t="shared" si="81"/>
        <v>护理</v>
      </c>
      <c r="F1139" s="9" t="str">
        <f>"2018012715"</f>
        <v>2018012715</v>
      </c>
      <c r="G1139" s="9">
        <v>37.5</v>
      </c>
      <c r="H1139" s="9">
        <v>64</v>
      </c>
      <c r="I1139" s="9">
        <f t="shared" si="79"/>
        <v>56.05</v>
      </c>
      <c r="J1139" s="9"/>
      <c r="K1139" s="3">
        <v>27</v>
      </c>
      <c r="L1139" s="3">
        <v>15</v>
      </c>
    </row>
    <row r="1140" spans="1:12" ht="18.75" customHeight="1">
      <c r="A1140" s="3" t="str">
        <f>"10522018022819094282699"</f>
        <v>10522018022819094282699</v>
      </c>
      <c r="B1140" s="8" t="s">
        <v>31</v>
      </c>
      <c r="C1140" s="9" t="str">
        <f t="shared" si="80"/>
        <v>女</v>
      </c>
      <c r="D1140" s="9" t="str">
        <f>"341621199702250229"</f>
        <v>341621199702250229</v>
      </c>
      <c r="E1140" s="14" t="str">
        <f t="shared" si="81"/>
        <v>护理</v>
      </c>
      <c r="F1140" s="9" t="str">
        <f>"2018013230"</f>
        <v>2018013230</v>
      </c>
      <c r="G1140" s="9">
        <v>23.5</v>
      </c>
      <c r="H1140" s="9">
        <v>70</v>
      </c>
      <c r="I1140" s="9">
        <f t="shared" si="79"/>
        <v>56.05</v>
      </c>
      <c r="J1140" s="9"/>
      <c r="K1140" s="3">
        <v>32</v>
      </c>
      <c r="L1140" s="3">
        <v>30</v>
      </c>
    </row>
    <row r="1141" spans="1:12" ht="18.75" customHeight="1">
      <c r="A1141" s="3" t="str">
        <f>"10522018030109090982801"</f>
        <v>10522018030109090982801</v>
      </c>
      <c r="B1141" s="8" t="s">
        <v>31</v>
      </c>
      <c r="C1141" s="9" t="str">
        <f t="shared" si="80"/>
        <v>女</v>
      </c>
      <c r="D1141" s="9" t="str">
        <f>"341621199407222129"</f>
        <v>341621199407222129</v>
      </c>
      <c r="E1141" s="14" t="str">
        <f t="shared" si="81"/>
        <v>护理</v>
      </c>
      <c r="F1141" s="9" t="str">
        <f>"2018013819"</f>
        <v>2018013819</v>
      </c>
      <c r="G1141" s="9">
        <v>29.5</v>
      </c>
      <c r="H1141" s="9">
        <v>67</v>
      </c>
      <c r="I1141" s="9">
        <f t="shared" si="79"/>
        <v>55.75</v>
      </c>
      <c r="J1141" s="9"/>
      <c r="K1141" s="3">
        <v>38</v>
      </c>
      <c r="L1141" s="3">
        <v>19</v>
      </c>
    </row>
    <row r="1142" spans="1:12" ht="18.75" customHeight="1">
      <c r="A1142" s="3" t="str">
        <f>"10522018022816540282655"</f>
        <v>10522018022816540282655</v>
      </c>
      <c r="B1142" s="8" t="s">
        <v>31</v>
      </c>
      <c r="C1142" s="9" t="str">
        <f t="shared" si="80"/>
        <v>女</v>
      </c>
      <c r="D1142" s="9" t="str">
        <f>"34122419940310822X"</f>
        <v>34122419940310822X</v>
      </c>
      <c r="E1142" s="14" t="str">
        <f t="shared" si="81"/>
        <v>护理</v>
      </c>
      <c r="F1142" s="9" t="str">
        <f>"2018013109"</f>
        <v>2018013109</v>
      </c>
      <c r="G1142" s="9">
        <v>20</v>
      </c>
      <c r="H1142" s="9">
        <v>71</v>
      </c>
      <c r="I1142" s="9">
        <f t="shared" si="79"/>
        <v>55.699999999999996</v>
      </c>
      <c r="J1142" s="9"/>
      <c r="K1142" s="3">
        <v>31</v>
      </c>
      <c r="L1142" s="3">
        <v>9</v>
      </c>
    </row>
    <row r="1143" spans="1:12" ht="18.75" customHeight="1">
      <c r="A1143" s="3" t="str">
        <f>"10522018030213391883144"</f>
        <v>10522018030213391883144</v>
      </c>
      <c r="B1143" s="8" t="s">
        <v>31</v>
      </c>
      <c r="C1143" s="9" t="str">
        <f t="shared" si="80"/>
        <v>女</v>
      </c>
      <c r="D1143" s="9" t="str">
        <f>"342130199702186140"</f>
        <v>342130199702186140</v>
      </c>
      <c r="E1143" s="14" t="str">
        <f t="shared" si="81"/>
        <v>护理</v>
      </c>
      <c r="F1143" s="9" t="str">
        <f>"2018013211"</f>
        <v>2018013211</v>
      </c>
      <c r="G1143" s="9">
        <v>31.5</v>
      </c>
      <c r="H1143" s="9">
        <v>66</v>
      </c>
      <c r="I1143" s="9">
        <f t="shared" si="79"/>
        <v>55.649999999999991</v>
      </c>
      <c r="J1143" s="9"/>
      <c r="K1143" s="3">
        <v>32</v>
      </c>
      <c r="L1143" s="3">
        <v>11</v>
      </c>
    </row>
    <row r="1144" spans="1:12" ht="18.75" customHeight="1">
      <c r="A1144" s="3" t="str">
        <f>"10522018022821051282740"</f>
        <v>10522018022821051282740</v>
      </c>
      <c r="B1144" s="8" t="s">
        <v>31</v>
      </c>
      <c r="C1144" s="9" t="str">
        <f t="shared" si="80"/>
        <v>女</v>
      </c>
      <c r="D1144" s="9" t="str">
        <f>"341621199505132725"</f>
        <v>341621199505132725</v>
      </c>
      <c r="E1144" s="14" t="str">
        <f t="shared" si="81"/>
        <v>护理</v>
      </c>
      <c r="F1144" s="9" t="str">
        <f>"2018013824"</f>
        <v>2018013824</v>
      </c>
      <c r="G1144" s="9">
        <v>34.5</v>
      </c>
      <c r="H1144" s="9">
        <v>64</v>
      </c>
      <c r="I1144" s="9">
        <f t="shared" si="79"/>
        <v>55.15</v>
      </c>
      <c r="J1144" s="9"/>
      <c r="K1144" s="3">
        <v>38</v>
      </c>
      <c r="L1144" s="3">
        <v>24</v>
      </c>
    </row>
    <row r="1145" spans="1:12" ht="18.75" customHeight="1">
      <c r="A1145" s="3" t="str">
        <f>"10522018022715231082280"</f>
        <v>10522018022715231082280</v>
      </c>
      <c r="B1145" s="8" t="s">
        <v>31</v>
      </c>
      <c r="C1145" s="9" t="str">
        <f t="shared" si="80"/>
        <v>女</v>
      </c>
      <c r="D1145" s="9" t="str">
        <f>"341621199503013327"</f>
        <v>341621199503013327</v>
      </c>
      <c r="E1145" s="14" t="str">
        <f t="shared" si="81"/>
        <v>护理</v>
      </c>
      <c r="F1145" s="9" t="str">
        <f>"2018012823"</f>
        <v>2018012823</v>
      </c>
      <c r="G1145" s="9">
        <v>39</v>
      </c>
      <c r="H1145" s="9">
        <v>62</v>
      </c>
      <c r="I1145" s="9">
        <f t="shared" si="79"/>
        <v>55.099999999999994</v>
      </c>
      <c r="J1145" s="9"/>
      <c r="K1145" s="3">
        <v>28</v>
      </c>
      <c r="L1145" s="3">
        <v>23</v>
      </c>
    </row>
    <row r="1146" spans="1:12" ht="18.75" customHeight="1">
      <c r="A1146" s="3" t="str">
        <f>"10522018030108340482791"</f>
        <v>10522018030108340482791</v>
      </c>
      <c r="B1146" s="8" t="s">
        <v>31</v>
      </c>
      <c r="C1146" s="9" t="str">
        <f t="shared" si="80"/>
        <v>女</v>
      </c>
      <c r="D1146" s="9" t="str">
        <f>"341623199408079021"</f>
        <v>341623199408079021</v>
      </c>
      <c r="E1146" s="14" t="str">
        <f t="shared" si="81"/>
        <v>护理</v>
      </c>
      <c r="F1146" s="9" t="str">
        <f>"2018013820"</f>
        <v>2018013820</v>
      </c>
      <c r="G1146" s="9">
        <v>13.5</v>
      </c>
      <c r="H1146" s="9">
        <v>72</v>
      </c>
      <c r="I1146" s="9">
        <f t="shared" si="79"/>
        <v>54.449999999999996</v>
      </c>
      <c r="J1146" s="9"/>
      <c r="K1146" s="3">
        <v>38</v>
      </c>
      <c r="L1146" s="3">
        <v>20</v>
      </c>
    </row>
    <row r="1147" spans="1:12" ht="18.75" customHeight="1">
      <c r="A1147" s="3" t="str">
        <f>"10522018022620275182059"</f>
        <v>10522018022620275182059</v>
      </c>
      <c r="B1147" s="8" t="s">
        <v>31</v>
      </c>
      <c r="C1147" s="9" t="str">
        <f t="shared" si="80"/>
        <v>女</v>
      </c>
      <c r="D1147" s="9" t="str">
        <f>"341281199511232444"</f>
        <v>341281199511232444</v>
      </c>
      <c r="E1147" s="14" t="str">
        <f t="shared" si="81"/>
        <v>护理</v>
      </c>
      <c r="F1147" s="9" t="str">
        <f>"2018012330"</f>
        <v>2018012330</v>
      </c>
      <c r="G1147" s="9">
        <v>33.5</v>
      </c>
      <c r="H1147" s="9">
        <v>62</v>
      </c>
      <c r="I1147" s="9">
        <f t="shared" si="79"/>
        <v>53.449999999999996</v>
      </c>
      <c r="J1147" s="9"/>
      <c r="K1147" s="3">
        <v>23</v>
      </c>
      <c r="L1147" s="3">
        <v>30</v>
      </c>
    </row>
    <row r="1148" spans="1:12" ht="18.75" customHeight="1">
      <c r="A1148" s="3" t="str">
        <f>"10522018022616012081940"</f>
        <v>10522018022616012081940</v>
      </c>
      <c r="B1148" s="8" t="s">
        <v>31</v>
      </c>
      <c r="C1148" s="9" t="str">
        <f t="shared" si="80"/>
        <v>女</v>
      </c>
      <c r="D1148" s="9" t="str">
        <f>"341281199403023784"</f>
        <v>341281199403023784</v>
      </c>
      <c r="E1148" s="14" t="str">
        <f t="shared" si="81"/>
        <v>护理</v>
      </c>
      <c r="F1148" s="9" t="str">
        <f>"2018012821"</f>
        <v>2018012821</v>
      </c>
      <c r="G1148" s="9">
        <v>23.5</v>
      </c>
      <c r="H1148" s="9">
        <v>66</v>
      </c>
      <c r="I1148" s="9">
        <f t="shared" si="79"/>
        <v>53.249999999999993</v>
      </c>
      <c r="J1148" s="9"/>
      <c r="K1148" s="3">
        <v>28</v>
      </c>
      <c r="L1148" s="3">
        <v>21</v>
      </c>
    </row>
    <row r="1149" spans="1:12" ht="18.75" customHeight="1">
      <c r="A1149" s="3" t="str">
        <f>"10522018030111300082844"</f>
        <v>10522018030111300082844</v>
      </c>
      <c r="B1149" s="8" t="s">
        <v>31</v>
      </c>
      <c r="C1149" s="9" t="str">
        <f t="shared" si="80"/>
        <v>女</v>
      </c>
      <c r="D1149" s="9" t="str">
        <f>"341621199310194520"</f>
        <v>341621199310194520</v>
      </c>
      <c r="E1149" s="14" t="str">
        <f t="shared" si="81"/>
        <v>护理</v>
      </c>
      <c r="F1149" s="9" t="str">
        <f>"2018013201"</f>
        <v>2018013201</v>
      </c>
      <c r="G1149" s="9">
        <v>29.5</v>
      </c>
      <c r="H1149" s="9">
        <v>62</v>
      </c>
      <c r="I1149" s="9">
        <f t="shared" si="79"/>
        <v>52.25</v>
      </c>
      <c r="J1149" s="9"/>
      <c r="K1149" s="3">
        <v>32</v>
      </c>
      <c r="L1149" s="3">
        <v>1</v>
      </c>
    </row>
    <row r="1150" spans="1:12" ht="18.75" customHeight="1">
      <c r="A1150" s="3" t="str">
        <f>"10522018022712373282220"</f>
        <v>10522018022712373282220</v>
      </c>
      <c r="B1150" s="8" t="s">
        <v>31</v>
      </c>
      <c r="C1150" s="9" t="str">
        <f t="shared" si="80"/>
        <v>女</v>
      </c>
      <c r="D1150" s="9" t="str">
        <f>"341223199407101547"</f>
        <v>341223199407101547</v>
      </c>
      <c r="E1150" s="14" t="str">
        <f t="shared" si="81"/>
        <v>护理</v>
      </c>
      <c r="F1150" s="9" t="str">
        <f>"2018012815"</f>
        <v>2018012815</v>
      </c>
      <c r="G1150" s="9">
        <v>38</v>
      </c>
      <c r="H1150" s="9">
        <v>57</v>
      </c>
      <c r="I1150" s="9">
        <f t="shared" si="79"/>
        <v>51.3</v>
      </c>
      <c r="J1150" s="9"/>
      <c r="K1150" s="3">
        <v>28</v>
      </c>
      <c r="L1150" s="3">
        <v>15</v>
      </c>
    </row>
    <row r="1151" spans="1:12" ht="18.75" customHeight="1">
      <c r="A1151" s="3" t="str">
        <f>"10522018022813404982596"</f>
        <v>10522018022813404982596</v>
      </c>
      <c r="B1151" s="8" t="s">
        <v>31</v>
      </c>
      <c r="C1151" s="9" t="str">
        <f t="shared" si="80"/>
        <v>女</v>
      </c>
      <c r="D1151" s="9" t="str">
        <f>"341223199506011766"</f>
        <v>341223199506011766</v>
      </c>
      <c r="E1151" s="14" t="str">
        <f t="shared" si="81"/>
        <v>护理</v>
      </c>
      <c r="F1151" s="9" t="str">
        <f>"2018012827"</f>
        <v>2018012827</v>
      </c>
      <c r="G1151" s="9">
        <v>24</v>
      </c>
      <c r="H1151" s="9">
        <v>61</v>
      </c>
      <c r="I1151" s="9">
        <f t="shared" si="79"/>
        <v>49.899999999999991</v>
      </c>
      <c r="J1151" s="9"/>
      <c r="K1151" s="3">
        <v>28</v>
      </c>
      <c r="L1151" s="3">
        <v>27</v>
      </c>
    </row>
    <row r="1152" spans="1:12" ht="18.75" customHeight="1">
      <c r="A1152" s="3" t="str">
        <f>"10522018030111465382851"</f>
        <v>10522018030111465382851</v>
      </c>
      <c r="B1152" s="8" t="s">
        <v>31</v>
      </c>
      <c r="C1152" s="9" t="str">
        <f t="shared" si="80"/>
        <v>女</v>
      </c>
      <c r="D1152" s="9" t="str">
        <f>"34122319970703012X"</f>
        <v>34122319970703012X</v>
      </c>
      <c r="E1152" s="14" t="str">
        <f t="shared" si="81"/>
        <v>护理</v>
      </c>
      <c r="F1152" s="9" t="str">
        <f>"2018013221"</f>
        <v>2018013221</v>
      </c>
      <c r="G1152" s="9">
        <v>32</v>
      </c>
      <c r="H1152" s="9">
        <v>57</v>
      </c>
      <c r="I1152" s="9">
        <f t="shared" si="79"/>
        <v>49.5</v>
      </c>
      <c r="J1152" s="9"/>
      <c r="K1152" s="3">
        <v>32</v>
      </c>
      <c r="L1152" s="3">
        <v>21</v>
      </c>
    </row>
    <row r="1153" spans="1:12" ht="18.75" customHeight="1">
      <c r="A1153" s="3" t="str">
        <f>"10522018030120541883026"</f>
        <v>10522018030120541883026</v>
      </c>
      <c r="B1153" s="8" t="s">
        <v>31</v>
      </c>
      <c r="C1153" s="9" t="str">
        <f t="shared" si="80"/>
        <v>女</v>
      </c>
      <c r="D1153" s="9" t="str">
        <f>"341621199508250049"</f>
        <v>341621199508250049</v>
      </c>
      <c r="E1153" s="14" t="str">
        <f t="shared" si="81"/>
        <v>护理</v>
      </c>
      <c r="F1153" s="9" t="str">
        <f>"2018012829"</f>
        <v>2018012829</v>
      </c>
      <c r="G1153" s="9">
        <v>18</v>
      </c>
      <c r="H1153" s="9">
        <v>62</v>
      </c>
      <c r="I1153" s="9">
        <f t="shared" si="79"/>
        <v>48.8</v>
      </c>
      <c r="J1153" s="9"/>
      <c r="K1153" s="3">
        <v>28</v>
      </c>
      <c r="L1153" s="3">
        <v>29</v>
      </c>
    </row>
    <row r="1154" spans="1:12" ht="18.75" customHeight="1">
      <c r="A1154" s="3" t="str">
        <f>"10522018022714200782255"</f>
        <v>10522018022714200782255</v>
      </c>
      <c r="B1154" s="8" t="s">
        <v>31</v>
      </c>
      <c r="C1154" s="9" t="str">
        <f t="shared" si="80"/>
        <v>女</v>
      </c>
      <c r="D1154" s="9" t="str">
        <f>"341623199309128748"</f>
        <v>341623199309128748</v>
      </c>
      <c r="E1154" s="14" t="str">
        <f t="shared" si="81"/>
        <v>护理</v>
      </c>
      <c r="F1154" s="9" t="str">
        <f>"2018012901"</f>
        <v>2018012901</v>
      </c>
      <c r="G1154" s="9">
        <v>15</v>
      </c>
      <c r="H1154" s="9">
        <v>63</v>
      </c>
      <c r="I1154" s="9">
        <f t="shared" ref="I1154:I1218" si="82">G1154*0.3+H1154*0.7</f>
        <v>48.599999999999994</v>
      </c>
      <c r="J1154" s="9"/>
      <c r="K1154" s="3">
        <v>29</v>
      </c>
      <c r="L1154" s="3">
        <v>1</v>
      </c>
    </row>
    <row r="1155" spans="1:12" ht="18.75" customHeight="1">
      <c r="A1155" s="3" t="str">
        <f>"10522018022715542482293"</f>
        <v>10522018022715542482293</v>
      </c>
      <c r="B1155" s="8" t="s">
        <v>31</v>
      </c>
      <c r="C1155" s="9" t="str">
        <f t="shared" si="80"/>
        <v>女</v>
      </c>
      <c r="D1155" s="9" t="str">
        <f>"341223199408263927"</f>
        <v>341223199408263927</v>
      </c>
      <c r="E1155" s="14" t="str">
        <f t="shared" si="81"/>
        <v>护理</v>
      </c>
      <c r="F1155" s="9" t="str">
        <f>"2018012919"</f>
        <v>2018012919</v>
      </c>
      <c r="G1155" s="9">
        <v>29.5</v>
      </c>
      <c r="H1155" s="9">
        <v>55</v>
      </c>
      <c r="I1155" s="9">
        <f t="shared" si="82"/>
        <v>47.35</v>
      </c>
      <c r="J1155" s="9"/>
      <c r="K1155" s="3">
        <v>29</v>
      </c>
      <c r="L1155" s="3">
        <v>19</v>
      </c>
    </row>
    <row r="1156" spans="1:12" ht="18.75" customHeight="1">
      <c r="A1156" s="3" t="str">
        <f>"10522018030117221282971"</f>
        <v>10522018030117221282971</v>
      </c>
      <c r="B1156" s="8" t="s">
        <v>31</v>
      </c>
      <c r="C1156" s="9" t="str">
        <f t="shared" si="80"/>
        <v>女</v>
      </c>
      <c r="D1156" s="9" t="str">
        <f>"341223199406051728"</f>
        <v>341223199406051728</v>
      </c>
      <c r="E1156" s="14" t="str">
        <f t="shared" si="81"/>
        <v>护理</v>
      </c>
      <c r="F1156" s="9" t="str">
        <f>"2018013207"</f>
        <v>2018013207</v>
      </c>
      <c r="G1156" s="9">
        <v>29</v>
      </c>
      <c r="H1156" s="9">
        <v>54</v>
      </c>
      <c r="I1156" s="9">
        <f t="shared" si="82"/>
        <v>46.5</v>
      </c>
      <c r="J1156" s="9"/>
      <c r="K1156" s="3">
        <v>32</v>
      </c>
      <c r="L1156" s="3">
        <v>7</v>
      </c>
    </row>
    <row r="1157" spans="1:12" ht="18.75" customHeight="1">
      <c r="A1157" s="3" t="str">
        <f>"10522018022720480682406"</f>
        <v>10522018022720480682406</v>
      </c>
      <c r="B1157" s="8" t="s">
        <v>31</v>
      </c>
      <c r="C1157" s="9" t="str">
        <f t="shared" ref="C1157:C1184" si="83">"女"</f>
        <v>女</v>
      </c>
      <c r="D1157" s="9" t="str">
        <f>"341223199408051326"</f>
        <v>341223199408051326</v>
      </c>
      <c r="E1157" s="14" t="str">
        <f t="shared" ref="E1157:E1190" si="84">"护理"</f>
        <v>护理</v>
      </c>
      <c r="F1157" s="9" t="str">
        <f>"2018012629"</f>
        <v>2018012629</v>
      </c>
      <c r="G1157" s="9">
        <v>26.5</v>
      </c>
      <c r="H1157" s="9">
        <v>55</v>
      </c>
      <c r="I1157" s="9">
        <f t="shared" si="82"/>
        <v>46.45</v>
      </c>
      <c r="J1157" s="9"/>
      <c r="K1157" s="3">
        <v>26</v>
      </c>
      <c r="L1157" s="3">
        <v>29</v>
      </c>
    </row>
    <row r="1158" spans="1:12" ht="18.75" customHeight="1">
      <c r="A1158" s="3" t="str">
        <f>"10522018022716155782300"</f>
        <v>10522018022716155782300</v>
      </c>
      <c r="B1158" s="8" t="s">
        <v>31</v>
      </c>
      <c r="C1158" s="9" t="str">
        <f t="shared" si="83"/>
        <v>女</v>
      </c>
      <c r="D1158" s="9" t="str">
        <f>"341621199512011542"</f>
        <v>341621199512011542</v>
      </c>
      <c r="E1158" s="14" t="str">
        <f t="shared" si="84"/>
        <v>护理</v>
      </c>
      <c r="F1158" s="9" t="str">
        <f>"2018012812"</f>
        <v>2018012812</v>
      </c>
      <c r="G1158" s="9">
        <v>26</v>
      </c>
      <c r="H1158" s="9">
        <v>55</v>
      </c>
      <c r="I1158" s="9">
        <f t="shared" si="82"/>
        <v>46.3</v>
      </c>
      <c r="J1158" s="9"/>
      <c r="K1158" s="3">
        <v>28</v>
      </c>
      <c r="L1158" s="3">
        <v>12</v>
      </c>
    </row>
    <row r="1159" spans="1:12" ht="18.75" customHeight="1">
      <c r="A1159" s="3" t="str">
        <f>"10522018022615565781937"</f>
        <v>10522018022615565781937</v>
      </c>
      <c r="B1159" s="8" t="s">
        <v>31</v>
      </c>
      <c r="C1159" s="9" t="str">
        <f t="shared" si="83"/>
        <v>女</v>
      </c>
      <c r="D1159" s="9" t="str">
        <f>"341621199507211726"</f>
        <v>341621199507211726</v>
      </c>
      <c r="E1159" s="14" t="str">
        <f t="shared" si="84"/>
        <v>护理</v>
      </c>
      <c r="F1159" s="9" t="str">
        <f>"2018013010"</f>
        <v>2018013010</v>
      </c>
      <c r="G1159" s="9">
        <v>31.5</v>
      </c>
      <c r="H1159" s="9">
        <v>52</v>
      </c>
      <c r="I1159" s="9">
        <f t="shared" si="82"/>
        <v>45.849999999999994</v>
      </c>
      <c r="J1159" s="9"/>
      <c r="K1159" s="3">
        <v>30</v>
      </c>
      <c r="L1159" s="3">
        <v>10</v>
      </c>
    </row>
    <row r="1160" spans="1:12" ht="51.75" customHeight="1">
      <c r="B1160" s="8" t="s">
        <v>31</v>
      </c>
      <c r="C1160" s="9" t="str">
        <f t="shared" si="83"/>
        <v>女</v>
      </c>
      <c r="D1160" s="9" t="str">
        <f>"341281199710211566"</f>
        <v>341281199710211566</v>
      </c>
      <c r="E1160" s="14" t="str">
        <f t="shared" si="84"/>
        <v>护理</v>
      </c>
      <c r="F1160" s="9" t="str">
        <f>"2018012805"</f>
        <v>2018012805</v>
      </c>
      <c r="G1160" s="9">
        <v>28.5</v>
      </c>
      <c r="H1160" s="9">
        <v>0</v>
      </c>
      <c r="I1160" s="9">
        <f t="shared" si="82"/>
        <v>8.5499999999999989</v>
      </c>
      <c r="J1160" s="11" t="s">
        <v>5</v>
      </c>
    </row>
    <row r="1161" spans="1:12" ht="18.75" customHeight="1">
      <c r="A1161" s="3" t="str">
        <f>"10522018030113005782879"</f>
        <v>10522018030113005782879</v>
      </c>
      <c r="B1161" s="8" t="s">
        <v>31</v>
      </c>
      <c r="C1161" s="9" t="str">
        <f t="shared" si="83"/>
        <v>女</v>
      </c>
      <c r="D1161" s="9" t="str">
        <f>"341221199608177887"</f>
        <v>341221199608177887</v>
      </c>
      <c r="E1161" s="14" t="str">
        <f t="shared" si="84"/>
        <v>护理</v>
      </c>
      <c r="F1161" s="9" t="str">
        <f>"2018012328"</f>
        <v>2018012328</v>
      </c>
      <c r="G1161" s="9">
        <v>0</v>
      </c>
      <c r="H1161" s="9">
        <v>0</v>
      </c>
      <c r="I1161" s="9">
        <f t="shared" si="82"/>
        <v>0</v>
      </c>
      <c r="J1161" s="10" t="s">
        <v>4</v>
      </c>
      <c r="K1161" s="3">
        <v>23</v>
      </c>
      <c r="L1161" s="3">
        <v>28</v>
      </c>
    </row>
    <row r="1162" spans="1:12" ht="18.75" customHeight="1">
      <c r="A1162" s="3" t="str">
        <f>"10522018030213313483143"</f>
        <v>10522018030213313483143</v>
      </c>
      <c r="B1162" s="8" t="s">
        <v>31</v>
      </c>
      <c r="C1162" s="9" t="str">
        <f t="shared" si="83"/>
        <v>女</v>
      </c>
      <c r="D1162" s="9" t="str">
        <f>"341202199709261528"</f>
        <v>341202199709261528</v>
      </c>
      <c r="E1162" s="14" t="str">
        <f t="shared" si="84"/>
        <v>护理</v>
      </c>
      <c r="F1162" s="9" t="str">
        <f>"2018012406"</f>
        <v>2018012406</v>
      </c>
      <c r="G1162" s="9">
        <v>0</v>
      </c>
      <c r="H1162" s="9">
        <v>0</v>
      </c>
      <c r="I1162" s="9">
        <f t="shared" si="82"/>
        <v>0</v>
      </c>
      <c r="J1162" s="10" t="s">
        <v>4</v>
      </c>
      <c r="K1162" s="3">
        <v>24</v>
      </c>
      <c r="L1162" s="3">
        <v>6</v>
      </c>
    </row>
    <row r="1163" spans="1:12" ht="18.75" customHeight="1">
      <c r="A1163" s="3" t="str">
        <f>"10522018022818213282681"</f>
        <v>10522018022818213282681</v>
      </c>
      <c r="B1163" s="8" t="s">
        <v>31</v>
      </c>
      <c r="C1163" s="9" t="str">
        <f t="shared" si="83"/>
        <v>女</v>
      </c>
      <c r="D1163" s="9" t="str">
        <f>"341223199702102921"</f>
        <v>341223199702102921</v>
      </c>
      <c r="E1163" s="14" t="str">
        <f t="shared" si="84"/>
        <v>护理</v>
      </c>
      <c r="F1163" s="9" t="str">
        <f>"2018012428"</f>
        <v>2018012428</v>
      </c>
      <c r="G1163" s="9">
        <v>0</v>
      </c>
      <c r="H1163" s="9">
        <v>0</v>
      </c>
      <c r="I1163" s="9">
        <f t="shared" si="82"/>
        <v>0</v>
      </c>
      <c r="J1163" s="10" t="s">
        <v>4</v>
      </c>
      <c r="K1163" s="3">
        <v>24</v>
      </c>
      <c r="L1163" s="3">
        <v>28</v>
      </c>
    </row>
    <row r="1164" spans="1:12" ht="18.75" customHeight="1">
      <c r="A1164" s="3" t="str">
        <f>"10522018030119580583010"</f>
        <v>10522018030119580583010</v>
      </c>
      <c r="B1164" s="8" t="s">
        <v>31</v>
      </c>
      <c r="C1164" s="9" t="str">
        <f t="shared" si="83"/>
        <v>女</v>
      </c>
      <c r="D1164" s="9" t="str">
        <f>"341621199312010043"</f>
        <v>341621199312010043</v>
      </c>
      <c r="E1164" s="14" t="str">
        <f t="shared" si="84"/>
        <v>护理</v>
      </c>
      <c r="F1164" s="9" t="str">
        <f>"2018012506"</f>
        <v>2018012506</v>
      </c>
      <c r="G1164" s="9">
        <v>0</v>
      </c>
      <c r="H1164" s="9">
        <v>0</v>
      </c>
      <c r="I1164" s="9">
        <f t="shared" si="82"/>
        <v>0</v>
      </c>
      <c r="J1164" s="10" t="s">
        <v>4</v>
      </c>
      <c r="K1164" s="3">
        <v>25</v>
      </c>
      <c r="L1164" s="3">
        <v>6</v>
      </c>
    </row>
    <row r="1165" spans="1:12" ht="18.75" customHeight="1">
      <c r="A1165" s="3" t="str">
        <f>"10522018022810423482520"</f>
        <v>10522018022810423482520</v>
      </c>
      <c r="B1165" s="8" t="s">
        <v>31</v>
      </c>
      <c r="C1165" s="9" t="str">
        <f t="shared" si="83"/>
        <v>女</v>
      </c>
      <c r="D1165" s="9" t="str">
        <f>"341222199604080283"</f>
        <v>341222199604080283</v>
      </c>
      <c r="E1165" s="14" t="str">
        <f t="shared" si="84"/>
        <v>护理</v>
      </c>
      <c r="F1165" s="9" t="str">
        <f>"2018012509"</f>
        <v>2018012509</v>
      </c>
      <c r="G1165" s="9">
        <v>0</v>
      </c>
      <c r="H1165" s="9">
        <v>0</v>
      </c>
      <c r="I1165" s="9">
        <f t="shared" si="82"/>
        <v>0</v>
      </c>
      <c r="J1165" s="10" t="s">
        <v>4</v>
      </c>
      <c r="K1165" s="3">
        <v>25</v>
      </c>
      <c r="L1165" s="3">
        <v>9</v>
      </c>
    </row>
    <row r="1166" spans="1:12" ht="18.75" customHeight="1">
      <c r="A1166" s="3" t="str">
        <f>"10522018022615420281924"</f>
        <v>10522018022615420281924</v>
      </c>
      <c r="B1166" s="8" t="s">
        <v>31</v>
      </c>
      <c r="C1166" s="9" t="str">
        <f t="shared" si="83"/>
        <v>女</v>
      </c>
      <c r="D1166" s="9" t="str">
        <f>"341621199510011741"</f>
        <v>341621199510011741</v>
      </c>
      <c r="E1166" s="14" t="str">
        <f t="shared" si="84"/>
        <v>护理</v>
      </c>
      <c r="F1166" s="9" t="str">
        <f>"2018012523"</f>
        <v>2018012523</v>
      </c>
      <c r="G1166" s="9">
        <v>0</v>
      </c>
      <c r="H1166" s="9">
        <v>0</v>
      </c>
      <c r="I1166" s="9">
        <f t="shared" si="82"/>
        <v>0</v>
      </c>
      <c r="J1166" s="10" t="s">
        <v>4</v>
      </c>
      <c r="K1166" s="3">
        <v>25</v>
      </c>
      <c r="L1166" s="3">
        <v>23</v>
      </c>
    </row>
    <row r="1167" spans="1:12" ht="18.75" customHeight="1">
      <c r="A1167" s="3" t="str">
        <f>"10522018022723283682449"</f>
        <v>10522018022723283682449</v>
      </c>
      <c r="B1167" s="8" t="s">
        <v>31</v>
      </c>
      <c r="C1167" s="9" t="str">
        <f t="shared" si="83"/>
        <v>女</v>
      </c>
      <c r="D1167" s="9" t="str">
        <f>"341181199307266043"</f>
        <v>341181199307266043</v>
      </c>
      <c r="E1167" s="14" t="str">
        <f t="shared" si="84"/>
        <v>护理</v>
      </c>
      <c r="F1167" s="9" t="str">
        <f>"2018012527"</f>
        <v>2018012527</v>
      </c>
      <c r="G1167" s="9">
        <v>0</v>
      </c>
      <c r="H1167" s="9">
        <v>0</v>
      </c>
      <c r="I1167" s="9">
        <f t="shared" si="82"/>
        <v>0</v>
      </c>
      <c r="J1167" s="10" t="s">
        <v>4</v>
      </c>
      <c r="K1167" s="3">
        <v>25</v>
      </c>
      <c r="L1167" s="3">
        <v>27</v>
      </c>
    </row>
    <row r="1168" spans="1:12" ht="18.75" customHeight="1">
      <c r="A1168" s="3" t="str">
        <f>"10522018022816493882653"</f>
        <v>10522018022816493882653</v>
      </c>
      <c r="B1168" s="8" t="s">
        <v>31</v>
      </c>
      <c r="C1168" s="9" t="str">
        <f t="shared" si="83"/>
        <v>女</v>
      </c>
      <c r="D1168" s="9" t="str">
        <f>"341602199408254625"</f>
        <v>341602199408254625</v>
      </c>
      <c r="E1168" s="14" t="str">
        <f t="shared" si="84"/>
        <v>护理</v>
      </c>
      <c r="F1168" s="9" t="str">
        <f>"2018012603"</f>
        <v>2018012603</v>
      </c>
      <c r="G1168" s="9">
        <v>0</v>
      </c>
      <c r="H1168" s="9">
        <v>0</v>
      </c>
      <c r="I1168" s="9">
        <f t="shared" si="82"/>
        <v>0</v>
      </c>
      <c r="J1168" s="10" t="s">
        <v>4</v>
      </c>
      <c r="K1168" s="3">
        <v>26</v>
      </c>
      <c r="L1168" s="3">
        <v>3</v>
      </c>
    </row>
    <row r="1169" spans="1:12" ht="18.75" customHeight="1">
      <c r="A1169" s="3" t="str">
        <f>"10522018022819133482703"</f>
        <v>10522018022819133482703</v>
      </c>
      <c r="B1169" s="8" t="s">
        <v>31</v>
      </c>
      <c r="C1169" s="9" t="str">
        <f t="shared" si="83"/>
        <v>女</v>
      </c>
      <c r="D1169" s="9" t="str">
        <f>"341204199712040841"</f>
        <v>341204199712040841</v>
      </c>
      <c r="E1169" s="14" t="str">
        <f t="shared" si="84"/>
        <v>护理</v>
      </c>
      <c r="F1169" s="9" t="str">
        <f>"2018012617"</f>
        <v>2018012617</v>
      </c>
      <c r="G1169" s="9">
        <v>0</v>
      </c>
      <c r="H1169" s="9">
        <v>0</v>
      </c>
      <c r="I1169" s="9">
        <f t="shared" si="82"/>
        <v>0</v>
      </c>
      <c r="J1169" s="10" t="s">
        <v>4</v>
      </c>
      <c r="K1169" s="3">
        <v>26</v>
      </c>
      <c r="L1169" s="3">
        <v>17</v>
      </c>
    </row>
    <row r="1170" spans="1:12" ht="18.75" customHeight="1">
      <c r="A1170" s="3" t="str">
        <f>"10522018022810534182529"</f>
        <v>10522018022810534182529</v>
      </c>
      <c r="B1170" s="8" t="s">
        <v>31</v>
      </c>
      <c r="C1170" s="9" t="str">
        <f t="shared" si="83"/>
        <v>女</v>
      </c>
      <c r="D1170" s="9" t="str">
        <f>"341602199608246064"</f>
        <v>341602199608246064</v>
      </c>
      <c r="E1170" s="14" t="str">
        <f t="shared" si="84"/>
        <v>护理</v>
      </c>
      <c r="F1170" s="9" t="str">
        <f>"2018012704"</f>
        <v>2018012704</v>
      </c>
      <c r="G1170" s="9">
        <v>0</v>
      </c>
      <c r="H1170" s="9">
        <v>0</v>
      </c>
      <c r="I1170" s="9">
        <f t="shared" si="82"/>
        <v>0</v>
      </c>
      <c r="J1170" s="10" t="s">
        <v>4</v>
      </c>
      <c r="K1170" s="3">
        <v>27</v>
      </c>
      <c r="L1170" s="3">
        <v>4</v>
      </c>
    </row>
    <row r="1171" spans="1:12" ht="18.75" customHeight="1">
      <c r="A1171" s="3" t="str">
        <f>"10522018030213182683141"</f>
        <v>10522018030213182683141</v>
      </c>
      <c r="B1171" s="8" t="s">
        <v>31</v>
      </c>
      <c r="C1171" s="9" t="str">
        <f t="shared" si="83"/>
        <v>女</v>
      </c>
      <c r="D1171" s="9" t="str">
        <f>"341223199309133940"</f>
        <v>341223199309133940</v>
      </c>
      <c r="E1171" s="14" t="str">
        <f t="shared" si="84"/>
        <v>护理</v>
      </c>
      <c r="F1171" s="9" t="str">
        <f>"2018012712"</f>
        <v>2018012712</v>
      </c>
      <c r="G1171" s="9">
        <v>0</v>
      </c>
      <c r="H1171" s="9">
        <v>0</v>
      </c>
      <c r="I1171" s="9">
        <f t="shared" si="82"/>
        <v>0</v>
      </c>
      <c r="J1171" s="10" t="s">
        <v>4</v>
      </c>
      <c r="K1171" s="3">
        <v>27</v>
      </c>
      <c r="L1171" s="3">
        <v>12</v>
      </c>
    </row>
    <row r="1172" spans="1:12" ht="18.75" customHeight="1">
      <c r="A1172" s="3" t="str">
        <f>"10522018022818433182692"</f>
        <v>10522018022818433182692</v>
      </c>
      <c r="B1172" s="8" t="s">
        <v>31</v>
      </c>
      <c r="C1172" s="9" t="str">
        <f t="shared" si="83"/>
        <v>女</v>
      </c>
      <c r="D1172" s="9" t="str">
        <f>"341227199402280027"</f>
        <v>341227199402280027</v>
      </c>
      <c r="E1172" s="14" t="str">
        <f t="shared" si="84"/>
        <v>护理</v>
      </c>
      <c r="F1172" s="9" t="str">
        <f>"2018012720"</f>
        <v>2018012720</v>
      </c>
      <c r="G1172" s="9">
        <v>0</v>
      </c>
      <c r="H1172" s="9">
        <v>0</v>
      </c>
      <c r="I1172" s="9">
        <f t="shared" si="82"/>
        <v>0</v>
      </c>
      <c r="J1172" s="10" t="s">
        <v>4</v>
      </c>
      <c r="K1172" s="3">
        <v>27</v>
      </c>
      <c r="L1172" s="3">
        <v>20</v>
      </c>
    </row>
    <row r="1173" spans="1:12" ht="18.75" customHeight="1">
      <c r="A1173" s="3" t="str">
        <f>"10522018022611033581732"</f>
        <v>10522018022611033581732</v>
      </c>
      <c r="B1173" s="8" t="s">
        <v>31</v>
      </c>
      <c r="C1173" s="9" t="str">
        <f t="shared" si="83"/>
        <v>女</v>
      </c>
      <c r="D1173" s="9" t="str">
        <f>"341602199507103507"</f>
        <v>341602199507103507</v>
      </c>
      <c r="E1173" s="14" t="str">
        <f t="shared" si="84"/>
        <v>护理</v>
      </c>
      <c r="F1173" s="9" t="str">
        <f>"2018012825"</f>
        <v>2018012825</v>
      </c>
      <c r="G1173" s="9">
        <v>0</v>
      </c>
      <c r="H1173" s="9">
        <v>0</v>
      </c>
      <c r="I1173" s="9">
        <f t="shared" si="82"/>
        <v>0</v>
      </c>
      <c r="J1173" s="10" t="s">
        <v>4</v>
      </c>
      <c r="K1173" s="3">
        <v>28</v>
      </c>
      <c r="L1173" s="3">
        <v>25</v>
      </c>
    </row>
    <row r="1174" spans="1:12" ht="18.75" customHeight="1">
      <c r="A1174" s="3" t="str">
        <f>"10522018022815570582643"</f>
        <v>10522018022815570582643</v>
      </c>
      <c r="B1174" s="8" t="s">
        <v>31</v>
      </c>
      <c r="C1174" s="9" t="str">
        <f t="shared" si="83"/>
        <v>女</v>
      </c>
      <c r="D1174" s="9" t="str">
        <f>"341224199304163725"</f>
        <v>341224199304163725</v>
      </c>
      <c r="E1174" s="14" t="str">
        <f t="shared" si="84"/>
        <v>护理</v>
      </c>
      <c r="F1174" s="9" t="str">
        <f>"2018012830"</f>
        <v>2018012830</v>
      </c>
      <c r="G1174" s="9">
        <v>0</v>
      </c>
      <c r="H1174" s="9">
        <v>0</v>
      </c>
      <c r="I1174" s="9">
        <f t="shared" si="82"/>
        <v>0</v>
      </c>
      <c r="J1174" s="10" t="s">
        <v>4</v>
      </c>
      <c r="K1174" s="3">
        <v>28</v>
      </c>
      <c r="L1174" s="3">
        <v>30</v>
      </c>
    </row>
    <row r="1175" spans="1:12" ht="18.75" customHeight="1">
      <c r="A1175" s="3" t="str">
        <f>"10522018022719445082377"</f>
        <v>10522018022719445082377</v>
      </c>
      <c r="B1175" s="8" t="s">
        <v>31</v>
      </c>
      <c r="C1175" s="9" t="str">
        <f t="shared" si="83"/>
        <v>女</v>
      </c>
      <c r="D1175" s="9" t="str">
        <f>"341226199402074227"</f>
        <v>341226199402074227</v>
      </c>
      <c r="E1175" s="14" t="str">
        <f t="shared" si="84"/>
        <v>护理</v>
      </c>
      <c r="F1175" s="9" t="str">
        <f>"2018012905"</f>
        <v>2018012905</v>
      </c>
      <c r="G1175" s="9">
        <v>0</v>
      </c>
      <c r="H1175" s="9">
        <v>0</v>
      </c>
      <c r="I1175" s="9">
        <f t="shared" si="82"/>
        <v>0</v>
      </c>
      <c r="J1175" s="10" t="s">
        <v>4</v>
      </c>
      <c r="K1175" s="3">
        <v>29</v>
      </c>
      <c r="L1175" s="3">
        <v>5</v>
      </c>
    </row>
    <row r="1176" spans="1:12" ht="18.75" customHeight="1">
      <c r="A1176" s="3" t="str">
        <f>"10522018022714224582260"</f>
        <v>10522018022714224582260</v>
      </c>
      <c r="B1176" s="8" t="s">
        <v>31</v>
      </c>
      <c r="C1176" s="9" t="str">
        <f t="shared" si="83"/>
        <v>女</v>
      </c>
      <c r="D1176" s="9" t="str">
        <f>"341281199705096583"</f>
        <v>341281199705096583</v>
      </c>
      <c r="E1176" s="14" t="str">
        <f t="shared" si="84"/>
        <v>护理</v>
      </c>
      <c r="F1176" s="9" t="str">
        <f>"2018012915"</f>
        <v>2018012915</v>
      </c>
      <c r="G1176" s="9">
        <v>0</v>
      </c>
      <c r="H1176" s="9">
        <v>0</v>
      </c>
      <c r="I1176" s="9">
        <f t="shared" si="82"/>
        <v>0</v>
      </c>
      <c r="J1176" s="10" t="s">
        <v>4</v>
      </c>
      <c r="K1176" s="3">
        <v>29</v>
      </c>
      <c r="L1176" s="3">
        <v>15</v>
      </c>
    </row>
    <row r="1177" spans="1:12" ht="18.75" customHeight="1">
      <c r="A1177" s="3" t="str">
        <f>"10522018022817483082668"</f>
        <v>10522018022817483082668</v>
      </c>
      <c r="B1177" s="8" t="s">
        <v>31</v>
      </c>
      <c r="C1177" s="9" t="str">
        <f t="shared" si="83"/>
        <v>女</v>
      </c>
      <c r="D1177" s="9" t="str">
        <f>"341224199301023583"</f>
        <v>341224199301023583</v>
      </c>
      <c r="E1177" s="14" t="str">
        <f t="shared" si="84"/>
        <v>护理</v>
      </c>
      <c r="F1177" s="9" t="str">
        <f>"2018012918"</f>
        <v>2018012918</v>
      </c>
      <c r="G1177" s="9">
        <v>0</v>
      </c>
      <c r="H1177" s="9">
        <v>0</v>
      </c>
      <c r="I1177" s="9">
        <f t="shared" si="82"/>
        <v>0</v>
      </c>
      <c r="J1177" s="10" t="s">
        <v>4</v>
      </c>
      <c r="K1177" s="3">
        <v>29</v>
      </c>
      <c r="L1177" s="3">
        <v>18</v>
      </c>
    </row>
    <row r="1178" spans="1:12" ht="18.75" customHeight="1">
      <c r="A1178" s="3" t="str">
        <f>"10522018030115551682938"</f>
        <v>10522018030115551682938</v>
      </c>
      <c r="B1178" s="8" t="s">
        <v>31</v>
      </c>
      <c r="C1178" s="9" t="str">
        <f t="shared" si="83"/>
        <v>女</v>
      </c>
      <c r="D1178" s="9" t="str">
        <f>"341221199501101081"</f>
        <v>341221199501101081</v>
      </c>
      <c r="E1178" s="14" t="str">
        <f t="shared" si="84"/>
        <v>护理</v>
      </c>
      <c r="F1178" s="9" t="str">
        <f>"2018012921"</f>
        <v>2018012921</v>
      </c>
      <c r="G1178" s="9">
        <v>0</v>
      </c>
      <c r="H1178" s="9">
        <v>0</v>
      </c>
      <c r="I1178" s="9">
        <f t="shared" si="82"/>
        <v>0</v>
      </c>
      <c r="J1178" s="10" t="s">
        <v>4</v>
      </c>
      <c r="K1178" s="3">
        <v>29</v>
      </c>
      <c r="L1178" s="3">
        <v>21</v>
      </c>
    </row>
    <row r="1179" spans="1:12" ht="18.75" customHeight="1">
      <c r="A1179" s="3" t="str">
        <f>"10522018030115460482936"</f>
        <v>10522018030115460482936</v>
      </c>
      <c r="B1179" s="8" t="s">
        <v>31</v>
      </c>
      <c r="C1179" s="9" t="str">
        <f t="shared" si="83"/>
        <v>女</v>
      </c>
      <c r="D1179" s="9" t="str">
        <f>"341221199706134127"</f>
        <v>341221199706134127</v>
      </c>
      <c r="E1179" s="14" t="str">
        <f t="shared" si="84"/>
        <v>护理</v>
      </c>
      <c r="F1179" s="9" t="str">
        <f>"2018013004"</f>
        <v>2018013004</v>
      </c>
      <c r="G1179" s="9">
        <v>0</v>
      </c>
      <c r="H1179" s="9">
        <v>0</v>
      </c>
      <c r="I1179" s="9">
        <f t="shared" si="82"/>
        <v>0</v>
      </c>
      <c r="J1179" s="10" t="s">
        <v>4</v>
      </c>
      <c r="K1179" s="3">
        <v>30</v>
      </c>
      <c r="L1179" s="3">
        <v>4</v>
      </c>
    </row>
    <row r="1180" spans="1:12" ht="18.75" customHeight="1">
      <c r="A1180" s="3" t="str">
        <f>"10522018030109244582805"</f>
        <v>10522018030109244582805</v>
      </c>
      <c r="B1180" s="8" t="s">
        <v>31</v>
      </c>
      <c r="C1180" s="9" t="str">
        <f t="shared" si="83"/>
        <v>女</v>
      </c>
      <c r="D1180" s="9" t="str">
        <f>"340223199705268424"</f>
        <v>340223199705268424</v>
      </c>
      <c r="E1180" s="14" t="str">
        <f t="shared" si="84"/>
        <v>护理</v>
      </c>
      <c r="F1180" s="9" t="str">
        <f>"2018013007"</f>
        <v>2018013007</v>
      </c>
      <c r="G1180" s="9">
        <v>0</v>
      </c>
      <c r="H1180" s="9">
        <v>0</v>
      </c>
      <c r="I1180" s="9">
        <f t="shared" si="82"/>
        <v>0</v>
      </c>
      <c r="J1180" s="10" t="s">
        <v>4</v>
      </c>
      <c r="K1180" s="3">
        <v>30</v>
      </c>
      <c r="L1180" s="3">
        <v>7</v>
      </c>
    </row>
    <row r="1181" spans="1:12" ht="18.75" customHeight="1">
      <c r="A1181" s="3" t="str">
        <f>"10522018022619032482024"</f>
        <v>10522018022619032482024</v>
      </c>
      <c r="B1181" s="8" t="s">
        <v>31</v>
      </c>
      <c r="C1181" s="9" t="str">
        <f t="shared" si="83"/>
        <v>女</v>
      </c>
      <c r="D1181" s="9" t="str">
        <f>"341281199602031568"</f>
        <v>341281199602031568</v>
      </c>
      <c r="E1181" s="14" t="str">
        <f t="shared" si="84"/>
        <v>护理</v>
      </c>
      <c r="F1181" s="9" t="str">
        <f>"2018013020"</f>
        <v>2018013020</v>
      </c>
      <c r="G1181" s="9">
        <v>0</v>
      </c>
      <c r="H1181" s="9">
        <v>0</v>
      </c>
      <c r="I1181" s="9">
        <f t="shared" si="82"/>
        <v>0</v>
      </c>
      <c r="J1181" s="10" t="s">
        <v>4</v>
      </c>
      <c r="K1181" s="3">
        <v>30</v>
      </c>
      <c r="L1181" s="3">
        <v>20</v>
      </c>
    </row>
    <row r="1182" spans="1:12" ht="18.75" customHeight="1">
      <c r="A1182" s="3" t="str">
        <f>"10522018022819485882719"</f>
        <v>10522018022819485882719</v>
      </c>
      <c r="B1182" s="8" t="s">
        <v>31</v>
      </c>
      <c r="C1182" s="9" t="str">
        <f t="shared" si="83"/>
        <v>女</v>
      </c>
      <c r="D1182" s="9" t="str">
        <f>"341226199601107327"</f>
        <v>341226199601107327</v>
      </c>
      <c r="E1182" s="14" t="str">
        <f t="shared" si="84"/>
        <v>护理</v>
      </c>
      <c r="F1182" s="9" t="str">
        <f>"2018013030"</f>
        <v>2018013030</v>
      </c>
      <c r="G1182" s="9">
        <v>0</v>
      </c>
      <c r="H1182" s="9">
        <v>0</v>
      </c>
      <c r="I1182" s="9">
        <f t="shared" si="82"/>
        <v>0</v>
      </c>
      <c r="J1182" s="10" t="s">
        <v>4</v>
      </c>
      <c r="K1182" s="3">
        <v>30</v>
      </c>
      <c r="L1182" s="3">
        <v>30</v>
      </c>
    </row>
    <row r="1183" spans="1:12" ht="18.75" customHeight="1">
      <c r="A1183" s="3" t="str">
        <f>"10522018030112062782860"</f>
        <v>10522018030112062782860</v>
      </c>
      <c r="B1183" s="8" t="s">
        <v>31</v>
      </c>
      <c r="C1183" s="9" t="str">
        <f t="shared" si="83"/>
        <v>女</v>
      </c>
      <c r="D1183" s="9" t="str">
        <f>"341623199406266720"</f>
        <v>341623199406266720</v>
      </c>
      <c r="E1183" s="14" t="str">
        <f t="shared" si="84"/>
        <v>护理</v>
      </c>
      <c r="F1183" s="9" t="str">
        <f>"2018013121"</f>
        <v>2018013121</v>
      </c>
      <c r="G1183" s="9">
        <v>0</v>
      </c>
      <c r="H1183" s="9">
        <v>0</v>
      </c>
      <c r="I1183" s="9">
        <f t="shared" si="82"/>
        <v>0</v>
      </c>
      <c r="J1183" s="10" t="s">
        <v>4</v>
      </c>
      <c r="K1183" s="3">
        <v>31</v>
      </c>
      <c r="L1183" s="3">
        <v>21</v>
      </c>
    </row>
    <row r="1184" spans="1:12" ht="18.75" customHeight="1">
      <c r="A1184" s="3" t="str">
        <f>"10522018022722045282438"</f>
        <v>10522018022722045282438</v>
      </c>
      <c r="B1184" s="8" t="s">
        <v>31</v>
      </c>
      <c r="C1184" s="9" t="str">
        <f t="shared" si="83"/>
        <v>女</v>
      </c>
      <c r="D1184" s="9" t="str">
        <f>"341225199508197747"</f>
        <v>341225199508197747</v>
      </c>
      <c r="E1184" s="14" t="str">
        <f t="shared" si="84"/>
        <v>护理</v>
      </c>
      <c r="F1184" s="9" t="str">
        <f>"2018013217"</f>
        <v>2018013217</v>
      </c>
      <c r="G1184" s="9">
        <v>0</v>
      </c>
      <c r="H1184" s="9">
        <v>0</v>
      </c>
      <c r="I1184" s="9">
        <f t="shared" si="82"/>
        <v>0</v>
      </c>
      <c r="J1184" s="10" t="s">
        <v>4</v>
      </c>
      <c r="K1184" s="3">
        <v>32</v>
      </c>
      <c r="L1184" s="3">
        <v>17</v>
      </c>
    </row>
    <row r="1185" spans="1:12" ht="18.75" customHeight="1">
      <c r="A1185" s="3" t="str">
        <f>"10522018022609054681571"</f>
        <v>10522018022609054681571</v>
      </c>
      <c r="B1185" s="8" t="s">
        <v>32</v>
      </c>
      <c r="C1185" s="9" t="str">
        <f t="shared" ref="C1185:C1190" si="85">"男"</f>
        <v>男</v>
      </c>
      <c r="D1185" s="9" t="str">
        <f>"341223199507220316"</f>
        <v>341223199507220316</v>
      </c>
      <c r="E1185" s="14" t="str">
        <f t="shared" si="84"/>
        <v>护理</v>
      </c>
      <c r="F1185" s="9" t="str">
        <f>"2018013827"</f>
        <v>2018013827</v>
      </c>
      <c r="G1185" s="9">
        <v>29</v>
      </c>
      <c r="H1185" s="9">
        <v>85</v>
      </c>
      <c r="I1185" s="9">
        <f t="shared" si="82"/>
        <v>68.199999999999989</v>
      </c>
      <c r="J1185" s="9"/>
      <c r="K1185" s="3">
        <v>38</v>
      </c>
      <c r="L1185" s="3">
        <v>27</v>
      </c>
    </row>
    <row r="1186" spans="1:12" ht="18.75" customHeight="1">
      <c r="A1186" s="3" t="str">
        <f>"10522018022811154882538"</f>
        <v>10522018022811154882538</v>
      </c>
      <c r="B1186" s="8" t="s">
        <v>32</v>
      </c>
      <c r="C1186" s="9" t="str">
        <f t="shared" si="85"/>
        <v>男</v>
      </c>
      <c r="D1186" s="9" t="str">
        <f>"341223199308135119"</f>
        <v>341223199308135119</v>
      </c>
      <c r="E1186" s="14" t="str">
        <f t="shared" si="84"/>
        <v>护理</v>
      </c>
      <c r="F1186" s="9" t="str">
        <f>"2018013826"</f>
        <v>2018013826</v>
      </c>
      <c r="G1186" s="9">
        <v>36.5</v>
      </c>
      <c r="H1186" s="9">
        <v>75</v>
      </c>
      <c r="I1186" s="9">
        <f t="shared" si="82"/>
        <v>63.45</v>
      </c>
      <c r="J1186" s="9"/>
      <c r="K1186" s="3">
        <v>38</v>
      </c>
      <c r="L1186" s="3">
        <v>26</v>
      </c>
    </row>
    <row r="1187" spans="1:12" ht="18.75" customHeight="1">
      <c r="A1187" s="3" t="str">
        <f>"10522018022815134182631"</f>
        <v>10522018022815134182631</v>
      </c>
      <c r="B1187" s="8" t="s">
        <v>32</v>
      </c>
      <c r="C1187" s="9" t="str">
        <f t="shared" si="85"/>
        <v>男</v>
      </c>
      <c r="D1187" s="9" t="str">
        <f>"342201199409107574"</f>
        <v>342201199409107574</v>
      </c>
      <c r="E1187" s="14" t="str">
        <f t="shared" si="84"/>
        <v>护理</v>
      </c>
      <c r="F1187" s="9" t="str">
        <f>"2018013828"</f>
        <v>2018013828</v>
      </c>
      <c r="G1187" s="9">
        <v>37</v>
      </c>
      <c r="H1187" s="9">
        <v>69</v>
      </c>
      <c r="I1187" s="9">
        <f t="shared" si="82"/>
        <v>59.4</v>
      </c>
      <c r="J1187" s="9"/>
      <c r="K1187" s="3">
        <v>38</v>
      </c>
      <c r="L1187" s="3">
        <v>28</v>
      </c>
    </row>
    <row r="1188" spans="1:12" ht="18.75" customHeight="1">
      <c r="A1188" s="3" t="str">
        <f>"10522018022720023782385"</f>
        <v>10522018022720023782385</v>
      </c>
      <c r="B1188" s="8" t="s">
        <v>32</v>
      </c>
      <c r="C1188" s="9" t="str">
        <f t="shared" si="85"/>
        <v>男</v>
      </c>
      <c r="D1188" s="9" t="str">
        <f>"340621199703113612"</f>
        <v>340621199703113612</v>
      </c>
      <c r="E1188" s="14" t="str">
        <f t="shared" si="84"/>
        <v>护理</v>
      </c>
      <c r="F1188" s="9" t="str">
        <f>"2018013830"</f>
        <v>2018013830</v>
      </c>
      <c r="G1188" s="9">
        <v>39</v>
      </c>
      <c r="H1188" s="9">
        <v>62</v>
      </c>
      <c r="I1188" s="9">
        <f t="shared" si="82"/>
        <v>55.099999999999994</v>
      </c>
      <c r="J1188" s="9"/>
      <c r="K1188" s="3">
        <v>38</v>
      </c>
      <c r="L1188" s="3">
        <v>30</v>
      </c>
    </row>
    <row r="1189" spans="1:12" ht="18.75" customHeight="1">
      <c r="A1189" s="3" t="str">
        <f>"10522018022713343182236"</f>
        <v>10522018022713343182236</v>
      </c>
      <c r="B1189" s="8" t="s">
        <v>32</v>
      </c>
      <c r="C1189" s="9" t="str">
        <f t="shared" si="85"/>
        <v>男</v>
      </c>
      <c r="D1189" s="9" t="str">
        <f>"341621199510161758"</f>
        <v>341621199510161758</v>
      </c>
      <c r="E1189" s="14" t="str">
        <f t="shared" si="84"/>
        <v>护理</v>
      </c>
      <c r="F1189" s="9" t="str">
        <f>"2018013825"</f>
        <v>2018013825</v>
      </c>
      <c r="G1189" s="9">
        <v>31</v>
      </c>
      <c r="H1189" s="9">
        <v>56</v>
      </c>
      <c r="I1189" s="9">
        <f t="shared" si="82"/>
        <v>48.499999999999993</v>
      </c>
      <c r="J1189" s="9"/>
      <c r="K1189" s="3">
        <v>38</v>
      </c>
      <c r="L1189" s="3">
        <v>25</v>
      </c>
    </row>
    <row r="1190" spans="1:12" ht="18.75" customHeight="1">
      <c r="A1190" s="3" t="str">
        <f>"10522018030123344783054"</f>
        <v>10522018030123344783054</v>
      </c>
      <c r="B1190" s="8" t="s">
        <v>32</v>
      </c>
      <c r="C1190" s="9" t="str">
        <f t="shared" si="85"/>
        <v>男</v>
      </c>
      <c r="D1190" s="9" t="str">
        <f>"34040219961010141X"</f>
        <v>34040219961010141X</v>
      </c>
      <c r="E1190" s="14" t="str">
        <f t="shared" si="84"/>
        <v>护理</v>
      </c>
      <c r="F1190" s="9" t="str">
        <f>"2018013829"</f>
        <v>2018013829</v>
      </c>
      <c r="G1190" s="9">
        <v>0</v>
      </c>
      <c r="H1190" s="9">
        <v>0</v>
      </c>
      <c r="I1190" s="9">
        <f t="shared" si="82"/>
        <v>0</v>
      </c>
      <c r="J1190" s="10" t="s">
        <v>4</v>
      </c>
      <c r="K1190" s="3">
        <v>38</v>
      </c>
      <c r="L1190" s="3">
        <v>29</v>
      </c>
    </row>
    <row r="1191" spans="1:12" ht="18.75" customHeight="1">
      <c r="A1191" s="3" t="str">
        <f>"10522018022709452182154"</f>
        <v>10522018022709452182154</v>
      </c>
      <c r="B1191" s="8" t="s">
        <v>33</v>
      </c>
      <c r="C1191" s="9" t="str">
        <f t="shared" ref="C1191:C1217" si="86">"女"</f>
        <v>女</v>
      </c>
      <c r="D1191" s="9" t="str">
        <f>"341223199602102748"</f>
        <v>341223199602102748</v>
      </c>
      <c r="E1191" s="14" t="str">
        <f t="shared" ref="E1191:E1217" si="87">"助产"</f>
        <v>助产</v>
      </c>
      <c r="F1191" s="9" t="str">
        <f>"2018013521"</f>
        <v>2018013521</v>
      </c>
      <c r="G1191" s="9">
        <v>69</v>
      </c>
      <c r="H1191" s="9">
        <v>101</v>
      </c>
      <c r="I1191" s="9">
        <f t="shared" si="82"/>
        <v>91.399999999999991</v>
      </c>
      <c r="J1191" s="9"/>
      <c r="K1191" s="3">
        <v>35</v>
      </c>
      <c r="L1191" s="3">
        <v>21</v>
      </c>
    </row>
    <row r="1192" spans="1:12" ht="18.75" customHeight="1">
      <c r="A1192" s="3" t="str">
        <f>"10522018022611335781763"</f>
        <v>10522018022611335781763</v>
      </c>
      <c r="B1192" s="8" t="s">
        <v>33</v>
      </c>
      <c r="C1192" s="9" t="str">
        <f t="shared" si="86"/>
        <v>女</v>
      </c>
      <c r="D1192" s="9" t="str">
        <f>"341223199312101747"</f>
        <v>341223199312101747</v>
      </c>
      <c r="E1192" s="14" t="str">
        <f t="shared" si="87"/>
        <v>助产</v>
      </c>
      <c r="F1192" s="9" t="str">
        <f>"2018014003"</f>
        <v>2018014003</v>
      </c>
      <c r="G1192" s="9">
        <v>48</v>
      </c>
      <c r="H1192" s="9">
        <v>97</v>
      </c>
      <c r="I1192" s="9">
        <f t="shared" si="82"/>
        <v>82.299999999999983</v>
      </c>
      <c r="J1192" s="9"/>
      <c r="K1192" s="3">
        <v>40</v>
      </c>
      <c r="L1192" s="3">
        <v>3</v>
      </c>
    </row>
    <row r="1193" spans="1:12" ht="18.75" customHeight="1">
      <c r="A1193" s="3" t="str">
        <f>"10522018030110065382817"</f>
        <v>10522018030110065382817</v>
      </c>
      <c r="B1193" s="8" t="s">
        <v>33</v>
      </c>
      <c r="C1193" s="9" t="str">
        <f t="shared" si="86"/>
        <v>女</v>
      </c>
      <c r="D1193" s="9" t="str">
        <f>"341621199409061322"</f>
        <v>341621199409061322</v>
      </c>
      <c r="E1193" s="14" t="str">
        <f t="shared" si="87"/>
        <v>助产</v>
      </c>
      <c r="F1193" s="9" t="str">
        <f>"2018014002"</f>
        <v>2018014002</v>
      </c>
      <c r="G1193" s="9">
        <v>41.5</v>
      </c>
      <c r="H1193" s="9">
        <v>93</v>
      </c>
      <c r="I1193" s="9">
        <f t="shared" si="82"/>
        <v>77.55</v>
      </c>
      <c r="J1193" s="9"/>
      <c r="K1193" s="3">
        <v>40</v>
      </c>
      <c r="L1193" s="3">
        <v>2</v>
      </c>
    </row>
    <row r="1194" spans="1:12" ht="18.75" customHeight="1">
      <c r="A1194" s="3" t="str">
        <f>"10522018022609385781622"</f>
        <v>10522018022609385781622</v>
      </c>
      <c r="B1194" s="8" t="s">
        <v>33</v>
      </c>
      <c r="C1194" s="9" t="str">
        <f t="shared" si="86"/>
        <v>女</v>
      </c>
      <c r="D1194" s="9" t="str">
        <f>"341284199706066625"</f>
        <v>341284199706066625</v>
      </c>
      <c r="E1194" s="14" t="str">
        <f t="shared" si="87"/>
        <v>助产</v>
      </c>
      <c r="F1194" s="9" t="str">
        <f>"2018014001"</f>
        <v>2018014001</v>
      </c>
      <c r="G1194" s="9">
        <v>46.5</v>
      </c>
      <c r="H1194" s="9">
        <v>90</v>
      </c>
      <c r="I1194" s="9">
        <f t="shared" si="82"/>
        <v>76.949999999999989</v>
      </c>
      <c r="J1194" s="9"/>
      <c r="K1194" s="3">
        <v>40</v>
      </c>
      <c r="L1194" s="3">
        <v>1</v>
      </c>
    </row>
    <row r="1195" spans="1:12" ht="18.75" customHeight="1">
      <c r="A1195" s="3" t="str">
        <f>"10522018022611070381736"</f>
        <v>10522018022611070381736</v>
      </c>
      <c r="B1195" s="8" t="s">
        <v>33</v>
      </c>
      <c r="C1195" s="9" t="str">
        <f t="shared" si="86"/>
        <v>女</v>
      </c>
      <c r="D1195" s="9" t="str">
        <f>"341223199401240220"</f>
        <v>341223199401240220</v>
      </c>
      <c r="E1195" s="14" t="str">
        <f t="shared" si="87"/>
        <v>助产</v>
      </c>
      <c r="F1195" s="9" t="str">
        <f>"2018013526"</f>
        <v>2018013526</v>
      </c>
      <c r="G1195" s="9">
        <v>66.5</v>
      </c>
      <c r="H1195" s="9">
        <v>79</v>
      </c>
      <c r="I1195" s="9">
        <f t="shared" si="82"/>
        <v>75.25</v>
      </c>
      <c r="J1195" s="9"/>
      <c r="K1195" s="3">
        <v>35</v>
      </c>
      <c r="L1195" s="3">
        <v>26</v>
      </c>
    </row>
    <row r="1196" spans="1:12" ht="18.75" customHeight="1">
      <c r="A1196" s="3" t="str">
        <f>"10522018030211075583109"</f>
        <v>10522018030211075583109</v>
      </c>
      <c r="B1196" s="8" t="s">
        <v>33</v>
      </c>
      <c r="C1196" s="9" t="str">
        <f t="shared" si="86"/>
        <v>女</v>
      </c>
      <c r="D1196" s="9" t="str">
        <f>"341223199509280320"</f>
        <v>341223199509280320</v>
      </c>
      <c r="E1196" s="14" t="str">
        <f t="shared" si="87"/>
        <v>助产</v>
      </c>
      <c r="F1196" s="9" t="str">
        <f>"2018014005"</f>
        <v>2018014005</v>
      </c>
      <c r="G1196" s="9">
        <v>61.5</v>
      </c>
      <c r="H1196" s="9">
        <v>76</v>
      </c>
      <c r="I1196" s="9">
        <f t="shared" si="82"/>
        <v>71.649999999999991</v>
      </c>
      <c r="J1196" s="9"/>
      <c r="K1196" s="3">
        <v>40</v>
      </c>
      <c r="L1196" s="3">
        <v>5</v>
      </c>
    </row>
    <row r="1197" spans="1:12" ht="18.75" customHeight="1">
      <c r="A1197" s="3" t="str">
        <f>"10522018022719090082357"</f>
        <v>10522018022719090082357</v>
      </c>
      <c r="B1197" s="8" t="s">
        <v>33</v>
      </c>
      <c r="C1197" s="9" t="str">
        <f t="shared" si="86"/>
        <v>女</v>
      </c>
      <c r="D1197" s="9" t="str">
        <f>"341227199311250746"</f>
        <v>341227199311250746</v>
      </c>
      <c r="E1197" s="14" t="str">
        <f t="shared" si="87"/>
        <v>助产</v>
      </c>
      <c r="F1197" s="9" t="str">
        <f>"2018014010"</f>
        <v>2018014010</v>
      </c>
      <c r="G1197" s="9">
        <v>45</v>
      </c>
      <c r="H1197" s="9">
        <v>83</v>
      </c>
      <c r="I1197" s="9">
        <f t="shared" si="82"/>
        <v>71.599999999999994</v>
      </c>
      <c r="J1197" s="9"/>
      <c r="K1197" s="3">
        <v>40</v>
      </c>
      <c r="L1197" s="3">
        <v>10</v>
      </c>
    </row>
    <row r="1198" spans="1:12" ht="18.75" customHeight="1">
      <c r="A1198" s="3" t="str">
        <f>"10522018022621463282095"</f>
        <v>10522018022621463282095</v>
      </c>
      <c r="B1198" s="8" t="s">
        <v>33</v>
      </c>
      <c r="C1198" s="9" t="str">
        <f t="shared" si="86"/>
        <v>女</v>
      </c>
      <c r="D1198" s="9" t="str">
        <f>"341223199510062742"</f>
        <v>341223199510062742</v>
      </c>
      <c r="E1198" s="14" t="str">
        <f t="shared" si="87"/>
        <v>助产</v>
      </c>
      <c r="F1198" s="9" t="str">
        <f>"2018014006"</f>
        <v>2018014006</v>
      </c>
      <c r="G1198" s="9">
        <v>50</v>
      </c>
      <c r="H1198" s="9">
        <v>79</v>
      </c>
      <c r="I1198" s="9">
        <f t="shared" si="82"/>
        <v>70.3</v>
      </c>
      <c r="J1198" s="9"/>
      <c r="K1198" s="3">
        <v>40</v>
      </c>
      <c r="L1198" s="3">
        <v>6</v>
      </c>
    </row>
    <row r="1199" spans="1:12" ht="18.75" customHeight="1">
      <c r="A1199" s="3" t="str">
        <f>"10522018030120201783014"</f>
        <v>10522018030120201783014</v>
      </c>
      <c r="B1199" s="8" t="s">
        <v>33</v>
      </c>
      <c r="C1199" s="9" t="str">
        <f t="shared" si="86"/>
        <v>女</v>
      </c>
      <c r="D1199" s="9" t="str">
        <f>"341223199308273140"</f>
        <v>341223199308273140</v>
      </c>
      <c r="E1199" s="14" t="str">
        <f t="shared" si="87"/>
        <v>助产</v>
      </c>
      <c r="F1199" s="9" t="str">
        <f>"2018014013"</f>
        <v>2018014013</v>
      </c>
      <c r="G1199" s="9">
        <v>66</v>
      </c>
      <c r="H1199" s="9">
        <v>72</v>
      </c>
      <c r="I1199" s="9">
        <f t="shared" si="82"/>
        <v>70.2</v>
      </c>
      <c r="J1199" s="9"/>
      <c r="K1199" s="3">
        <v>40</v>
      </c>
      <c r="L1199" s="3">
        <v>13</v>
      </c>
    </row>
    <row r="1200" spans="1:12" ht="18.75" customHeight="1">
      <c r="A1200" s="3" t="str">
        <f>"10522018022819283382710"</f>
        <v>10522018022819283382710</v>
      </c>
      <c r="B1200" s="8" t="s">
        <v>33</v>
      </c>
      <c r="C1200" s="9" t="str">
        <f t="shared" si="86"/>
        <v>女</v>
      </c>
      <c r="D1200" s="9" t="str">
        <f>"341224199307315325"</f>
        <v>341224199307315325</v>
      </c>
      <c r="E1200" s="14" t="str">
        <f t="shared" si="87"/>
        <v>助产</v>
      </c>
      <c r="F1200" s="9" t="str">
        <f>"2018014015"</f>
        <v>2018014015</v>
      </c>
      <c r="G1200" s="9">
        <v>32</v>
      </c>
      <c r="H1200" s="9">
        <v>86</v>
      </c>
      <c r="I1200" s="9">
        <f t="shared" si="82"/>
        <v>69.8</v>
      </c>
      <c r="J1200" s="9"/>
      <c r="K1200" s="3">
        <v>40</v>
      </c>
      <c r="L1200" s="3">
        <v>15</v>
      </c>
    </row>
    <row r="1201" spans="1:12" ht="18.75" customHeight="1">
      <c r="A1201" s="3" t="str">
        <f>"10522018030111302082845"</f>
        <v>10522018030111302082845</v>
      </c>
      <c r="B1201" s="8" t="s">
        <v>33</v>
      </c>
      <c r="C1201" s="9" t="str">
        <f t="shared" si="86"/>
        <v>女</v>
      </c>
      <c r="D1201" s="9" t="str">
        <f>"341221199305151049"</f>
        <v>341221199305151049</v>
      </c>
      <c r="E1201" s="14" t="str">
        <f t="shared" si="87"/>
        <v>助产</v>
      </c>
      <c r="F1201" s="9" t="str">
        <f>"2018014014"</f>
        <v>2018014014</v>
      </c>
      <c r="G1201" s="9">
        <v>40</v>
      </c>
      <c r="H1201" s="9">
        <v>80.5</v>
      </c>
      <c r="I1201" s="9">
        <f t="shared" si="82"/>
        <v>68.349999999999994</v>
      </c>
      <c r="J1201" s="9"/>
      <c r="K1201" s="3">
        <v>40</v>
      </c>
      <c r="L1201" s="3">
        <v>14</v>
      </c>
    </row>
    <row r="1202" spans="1:12" ht="18.75" customHeight="1">
      <c r="A1202" s="3" t="str">
        <f>"10522018022812415082566"</f>
        <v>10522018022812415082566</v>
      </c>
      <c r="B1202" s="8" t="s">
        <v>33</v>
      </c>
      <c r="C1202" s="9" t="str">
        <f t="shared" si="86"/>
        <v>女</v>
      </c>
      <c r="D1202" s="9" t="str">
        <f>"341621199310072128"</f>
        <v>341621199310072128</v>
      </c>
      <c r="E1202" s="14" t="str">
        <f t="shared" si="87"/>
        <v>助产</v>
      </c>
      <c r="F1202" s="9" t="str">
        <f>"2018013522"</f>
        <v>2018013522</v>
      </c>
      <c r="G1202" s="9">
        <v>45.5</v>
      </c>
      <c r="H1202" s="9">
        <v>78</v>
      </c>
      <c r="I1202" s="9">
        <f t="shared" si="82"/>
        <v>68.25</v>
      </c>
      <c r="J1202" s="9"/>
      <c r="K1202" s="3">
        <v>35</v>
      </c>
      <c r="L1202" s="3">
        <v>22</v>
      </c>
    </row>
    <row r="1203" spans="1:12" ht="18.75" customHeight="1">
      <c r="A1203" s="3" t="str">
        <f>"10522018022621111182080"</f>
        <v>10522018022621111182080</v>
      </c>
      <c r="B1203" s="8" t="s">
        <v>33</v>
      </c>
      <c r="C1203" s="9" t="str">
        <f t="shared" si="86"/>
        <v>女</v>
      </c>
      <c r="D1203" s="9" t="str">
        <f>"341622199601195327"</f>
        <v>341622199601195327</v>
      </c>
      <c r="E1203" s="14" t="str">
        <f t="shared" si="87"/>
        <v>助产</v>
      </c>
      <c r="F1203" s="9" t="str">
        <f>"2018014016"</f>
        <v>2018014016</v>
      </c>
      <c r="G1203" s="9">
        <v>43</v>
      </c>
      <c r="H1203" s="9">
        <v>79</v>
      </c>
      <c r="I1203" s="9">
        <f t="shared" si="82"/>
        <v>68.2</v>
      </c>
      <c r="J1203" s="9"/>
      <c r="K1203" s="3">
        <v>40</v>
      </c>
      <c r="L1203" s="3">
        <v>16</v>
      </c>
    </row>
    <row r="1204" spans="1:12" ht="18.75" customHeight="1">
      <c r="A1204" s="3" t="str">
        <f>"10522018022610095481654"</f>
        <v>10522018022610095481654</v>
      </c>
      <c r="B1204" s="8" t="s">
        <v>33</v>
      </c>
      <c r="C1204" s="9" t="str">
        <f t="shared" si="86"/>
        <v>女</v>
      </c>
      <c r="D1204" s="9" t="str">
        <f>"342222199302170145"</f>
        <v>342222199302170145</v>
      </c>
      <c r="E1204" s="14" t="str">
        <f t="shared" si="87"/>
        <v>助产</v>
      </c>
      <c r="F1204" s="9" t="str">
        <f>"2018013525"</f>
        <v>2018013525</v>
      </c>
      <c r="G1204" s="9">
        <v>33</v>
      </c>
      <c r="H1204" s="9">
        <v>83</v>
      </c>
      <c r="I1204" s="9">
        <f t="shared" si="82"/>
        <v>68</v>
      </c>
      <c r="J1204" s="9"/>
      <c r="K1204" s="3">
        <v>35</v>
      </c>
      <c r="L1204" s="3">
        <v>25</v>
      </c>
    </row>
    <row r="1205" spans="1:12" ht="18.75" customHeight="1">
      <c r="A1205" s="3" t="str">
        <f>"10522018022714194282254"</f>
        <v>10522018022714194282254</v>
      </c>
      <c r="B1205" s="8" t="s">
        <v>33</v>
      </c>
      <c r="C1205" s="9" t="str">
        <f t="shared" si="86"/>
        <v>女</v>
      </c>
      <c r="D1205" s="9" t="str">
        <f>"341227199402046468"</f>
        <v>341227199402046468</v>
      </c>
      <c r="E1205" s="14" t="str">
        <f t="shared" si="87"/>
        <v>助产</v>
      </c>
      <c r="F1205" s="9" t="str">
        <f>"2018014009"</f>
        <v>2018014009</v>
      </c>
      <c r="G1205" s="9">
        <v>37</v>
      </c>
      <c r="H1205" s="9">
        <v>71</v>
      </c>
      <c r="I1205" s="9">
        <f t="shared" si="82"/>
        <v>60.8</v>
      </c>
      <c r="J1205" s="9"/>
      <c r="K1205" s="3">
        <v>40</v>
      </c>
      <c r="L1205" s="3">
        <v>9</v>
      </c>
    </row>
    <row r="1206" spans="1:12" ht="18.75" customHeight="1">
      <c r="A1206" s="3" t="str">
        <f>"10522018030113250382891"</f>
        <v>10522018030113250382891</v>
      </c>
      <c r="B1206" s="8" t="s">
        <v>33</v>
      </c>
      <c r="C1206" s="9" t="str">
        <f t="shared" si="86"/>
        <v>女</v>
      </c>
      <c r="D1206" s="9" t="str">
        <f>"341227199304157041"</f>
        <v>341227199304157041</v>
      </c>
      <c r="E1206" s="14" t="str">
        <f t="shared" si="87"/>
        <v>助产</v>
      </c>
      <c r="F1206" s="9" t="str">
        <f>"2018014007"</f>
        <v>2018014007</v>
      </c>
      <c r="G1206" s="9">
        <v>46.5</v>
      </c>
      <c r="H1206" s="9">
        <v>65</v>
      </c>
      <c r="I1206" s="9">
        <f t="shared" si="82"/>
        <v>59.45</v>
      </c>
      <c r="J1206" s="9"/>
      <c r="K1206" s="3">
        <v>40</v>
      </c>
      <c r="L1206" s="3">
        <v>7</v>
      </c>
    </row>
    <row r="1207" spans="1:12" ht="18.75" customHeight="1">
      <c r="A1207" s="3" t="str">
        <f>"10522018030208541383075"</f>
        <v>10522018030208541383075</v>
      </c>
      <c r="B1207" s="8" t="s">
        <v>33</v>
      </c>
      <c r="C1207" s="9" t="str">
        <f t="shared" si="86"/>
        <v>女</v>
      </c>
      <c r="D1207" s="9" t="str">
        <f>"341223199302020329"</f>
        <v>341223199302020329</v>
      </c>
      <c r="E1207" s="14" t="str">
        <f t="shared" si="87"/>
        <v>助产</v>
      </c>
      <c r="F1207" s="9" t="str">
        <f>"2018013523"</f>
        <v>2018013523</v>
      </c>
      <c r="G1207" s="9">
        <v>41.5</v>
      </c>
      <c r="H1207" s="9">
        <v>67</v>
      </c>
      <c r="I1207" s="9">
        <f t="shared" si="82"/>
        <v>59.349999999999994</v>
      </c>
      <c r="J1207" s="9"/>
      <c r="K1207" s="3">
        <v>35</v>
      </c>
      <c r="L1207" s="3">
        <v>23</v>
      </c>
    </row>
    <row r="1208" spans="1:12" ht="18.75" customHeight="1">
      <c r="A1208" s="3" t="str">
        <f>"10522018030112432682873"</f>
        <v>10522018030112432682873</v>
      </c>
      <c r="B1208" s="8" t="s">
        <v>33</v>
      </c>
      <c r="C1208" s="9" t="str">
        <f t="shared" si="86"/>
        <v>女</v>
      </c>
      <c r="D1208" s="9" t="str">
        <f>"34162119940710398X"</f>
        <v>34162119940710398X</v>
      </c>
      <c r="E1208" s="14" t="str">
        <f t="shared" si="87"/>
        <v>助产</v>
      </c>
      <c r="F1208" s="9" t="str">
        <f>"2018013524"</f>
        <v>2018013524</v>
      </c>
      <c r="G1208" s="9">
        <v>35</v>
      </c>
      <c r="H1208" s="9">
        <v>69</v>
      </c>
      <c r="I1208" s="9">
        <f t="shared" si="82"/>
        <v>58.8</v>
      </c>
      <c r="J1208" s="9"/>
      <c r="K1208" s="3">
        <v>35</v>
      </c>
      <c r="L1208" s="3">
        <v>24</v>
      </c>
    </row>
    <row r="1209" spans="1:12" ht="18.75" customHeight="1">
      <c r="A1209" s="3" t="str">
        <f>"10522018022614291581880"</f>
        <v>10522018022614291581880</v>
      </c>
      <c r="B1209" s="8" t="s">
        <v>33</v>
      </c>
      <c r="C1209" s="9" t="str">
        <f t="shared" si="86"/>
        <v>女</v>
      </c>
      <c r="D1209" s="9" t="str">
        <f>"341621199606082149"</f>
        <v>341621199606082149</v>
      </c>
      <c r="E1209" s="14" t="str">
        <f t="shared" si="87"/>
        <v>助产</v>
      </c>
      <c r="F1209" s="9" t="str">
        <f>"2018014011"</f>
        <v>2018014011</v>
      </c>
      <c r="G1209" s="9">
        <v>29</v>
      </c>
      <c r="H1209" s="9">
        <v>71</v>
      </c>
      <c r="I1209" s="9">
        <f t="shared" si="82"/>
        <v>58.399999999999991</v>
      </c>
      <c r="J1209" s="9"/>
      <c r="K1209" s="3">
        <v>40</v>
      </c>
      <c r="L1209" s="3">
        <v>11</v>
      </c>
    </row>
    <row r="1210" spans="1:12" ht="18.75" customHeight="1">
      <c r="A1210" s="3" t="str">
        <f>"10522018030116235982954"</f>
        <v>10522018030116235982954</v>
      </c>
      <c r="B1210" s="8" t="s">
        <v>33</v>
      </c>
      <c r="C1210" s="9" t="str">
        <f t="shared" si="86"/>
        <v>女</v>
      </c>
      <c r="D1210" s="9" t="str">
        <f>"341223199308063928"</f>
        <v>341223199308063928</v>
      </c>
      <c r="E1210" s="14" t="str">
        <f t="shared" si="87"/>
        <v>助产</v>
      </c>
      <c r="F1210" s="9" t="str">
        <f>"2018013528"</f>
        <v>2018013528</v>
      </c>
      <c r="G1210" s="9">
        <v>36.5</v>
      </c>
      <c r="H1210" s="9">
        <v>64.5</v>
      </c>
      <c r="I1210" s="9">
        <f t="shared" si="82"/>
        <v>56.099999999999994</v>
      </c>
      <c r="J1210" s="9"/>
      <c r="K1210" s="3">
        <v>35</v>
      </c>
      <c r="L1210" s="3">
        <v>28</v>
      </c>
    </row>
    <row r="1211" spans="1:12" ht="18.75" customHeight="1">
      <c r="A1211" s="3" t="str">
        <f>"10522018022619252282031"</f>
        <v>10522018022619252282031</v>
      </c>
      <c r="B1211" s="8" t="s">
        <v>33</v>
      </c>
      <c r="C1211" s="9" t="str">
        <f t="shared" si="86"/>
        <v>女</v>
      </c>
      <c r="D1211" s="9" t="str">
        <f>"341621199801062549"</f>
        <v>341621199801062549</v>
      </c>
      <c r="E1211" s="14" t="str">
        <f t="shared" si="87"/>
        <v>助产</v>
      </c>
      <c r="F1211" s="9" t="str">
        <f>"2018013530"</f>
        <v>2018013530</v>
      </c>
      <c r="G1211" s="9">
        <v>29</v>
      </c>
      <c r="H1211" s="9">
        <v>67.5</v>
      </c>
      <c r="I1211" s="9">
        <f t="shared" si="82"/>
        <v>55.95</v>
      </c>
      <c r="J1211" s="9"/>
      <c r="K1211" s="3">
        <v>35</v>
      </c>
      <c r="L1211" s="3">
        <v>30</v>
      </c>
    </row>
    <row r="1212" spans="1:12" ht="18.75" customHeight="1">
      <c r="A1212" s="3" t="str">
        <f>"10522018022808412182468"</f>
        <v>10522018022808412182468</v>
      </c>
      <c r="B1212" s="8" t="s">
        <v>33</v>
      </c>
      <c r="C1212" s="9" t="str">
        <f t="shared" si="86"/>
        <v>女</v>
      </c>
      <c r="D1212" s="9" t="str">
        <f>"340621199601267864"</f>
        <v>340621199601267864</v>
      </c>
      <c r="E1212" s="14" t="str">
        <f t="shared" si="87"/>
        <v>助产</v>
      </c>
      <c r="F1212" s="9" t="str">
        <f>"2018014017"</f>
        <v>2018014017</v>
      </c>
      <c r="G1212" s="9">
        <v>38.5</v>
      </c>
      <c r="H1212" s="9">
        <v>63</v>
      </c>
      <c r="I1212" s="9">
        <f t="shared" si="82"/>
        <v>55.649999999999991</v>
      </c>
      <c r="J1212" s="9"/>
      <c r="K1212" s="3">
        <v>40</v>
      </c>
      <c r="L1212" s="3">
        <v>17</v>
      </c>
    </row>
    <row r="1213" spans="1:12" ht="18.75" customHeight="1">
      <c r="A1213" s="3" t="str">
        <f>"10522018022808564682473"</f>
        <v>10522018022808564682473</v>
      </c>
      <c r="B1213" s="8" t="s">
        <v>33</v>
      </c>
      <c r="C1213" s="9" t="str">
        <f t="shared" si="86"/>
        <v>女</v>
      </c>
      <c r="D1213" s="9" t="str">
        <f>"341621199612221942"</f>
        <v>341621199612221942</v>
      </c>
      <c r="E1213" s="14" t="str">
        <f t="shared" si="87"/>
        <v>助产</v>
      </c>
      <c r="F1213" s="9" t="str">
        <f>"2018013529"</f>
        <v>2018013529</v>
      </c>
      <c r="G1213" s="9">
        <v>52</v>
      </c>
      <c r="H1213" s="9">
        <v>50</v>
      </c>
      <c r="I1213" s="9">
        <f t="shared" si="82"/>
        <v>50.6</v>
      </c>
      <c r="J1213" s="9"/>
      <c r="K1213" s="3">
        <v>35</v>
      </c>
      <c r="L1213" s="3">
        <v>29</v>
      </c>
    </row>
    <row r="1214" spans="1:12" ht="18.75" customHeight="1">
      <c r="A1214" s="3" t="str">
        <f>"10522018022616345781960"</f>
        <v>10522018022616345781960</v>
      </c>
      <c r="B1214" s="8" t="s">
        <v>33</v>
      </c>
      <c r="C1214" s="9" t="str">
        <f t="shared" si="86"/>
        <v>女</v>
      </c>
      <c r="D1214" s="9" t="str">
        <f>"341621199509173524"</f>
        <v>341621199509173524</v>
      </c>
      <c r="E1214" s="14" t="str">
        <f t="shared" si="87"/>
        <v>助产</v>
      </c>
      <c r="F1214" s="9" t="str">
        <f>"2018013527"</f>
        <v>2018013527</v>
      </c>
      <c r="G1214" s="9">
        <v>39.5</v>
      </c>
      <c r="H1214" s="9">
        <v>54.5</v>
      </c>
      <c r="I1214" s="9">
        <f t="shared" si="82"/>
        <v>50</v>
      </c>
      <c r="J1214" s="9"/>
      <c r="K1214" s="3">
        <v>35</v>
      </c>
      <c r="L1214" s="3">
        <v>27</v>
      </c>
    </row>
    <row r="1215" spans="1:12" ht="18.75" customHeight="1">
      <c r="A1215" s="3" t="str">
        <f>"10522018022616103681946"</f>
        <v>10522018022616103681946</v>
      </c>
      <c r="B1215" s="8" t="s">
        <v>33</v>
      </c>
      <c r="C1215" s="9" t="str">
        <f t="shared" si="86"/>
        <v>女</v>
      </c>
      <c r="D1215" s="9" t="str">
        <f>"34162119970818172X"</f>
        <v>34162119970818172X</v>
      </c>
      <c r="E1215" s="14" t="str">
        <f t="shared" si="87"/>
        <v>助产</v>
      </c>
      <c r="F1215" s="9" t="str">
        <f>"2018014012"</f>
        <v>2018014012</v>
      </c>
      <c r="G1215" s="9">
        <v>37</v>
      </c>
      <c r="H1215" s="9">
        <v>54.5</v>
      </c>
      <c r="I1215" s="9">
        <f t="shared" si="82"/>
        <v>49.25</v>
      </c>
      <c r="J1215" s="9"/>
      <c r="K1215" s="3">
        <v>40</v>
      </c>
      <c r="L1215" s="3">
        <v>12</v>
      </c>
    </row>
    <row r="1216" spans="1:12" ht="18.75" customHeight="1">
      <c r="A1216" s="3" t="str">
        <f>"10522018030116082382946"</f>
        <v>10522018030116082382946</v>
      </c>
      <c r="B1216" s="8" t="s">
        <v>33</v>
      </c>
      <c r="C1216" s="9" t="str">
        <f t="shared" si="86"/>
        <v>女</v>
      </c>
      <c r="D1216" s="9" t="str">
        <f>"34122119951128204X"</f>
        <v>34122119951128204X</v>
      </c>
      <c r="E1216" s="14" t="str">
        <f t="shared" si="87"/>
        <v>助产</v>
      </c>
      <c r="F1216" s="9" t="str">
        <f>"2018014008"</f>
        <v>2018014008</v>
      </c>
      <c r="G1216" s="9">
        <v>26.5</v>
      </c>
      <c r="H1216" s="9">
        <v>56</v>
      </c>
      <c r="I1216" s="9">
        <f t="shared" si="82"/>
        <v>47.149999999999991</v>
      </c>
      <c r="J1216" s="9"/>
      <c r="K1216" s="3">
        <v>40</v>
      </c>
      <c r="L1216" s="3">
        <v>8</v>
      </c>
    </row>
    <row r="1217" spans="1:12" ht="18.75" customHeight="1">
      <c r="A1217" s="3" t="str">
        <f>"10522018022819115982700"</f>
        <v>10522018022819115982700</v>
      </c>
      <c r="B1217" s="8" t="s">
        <v>33</v>
      </c>
      <c r="C1217" s="9" t="str">
        <f t="shared" si="86"/>
        <v>女</v>
      </c>
      <c r="D1217" s="9" t="str">
        <f>"341282199510131429"</f>
        <v>341282199510131429</v>
      </c>
      <c r="E1217" s="14" t="str">
        <f t="shared" si="87"/>
        <v>助产</v>
      </c>
      <c r="F1217" s="9" t="str">
        <f>"2018014004"</f>
        <v>2018014004</v>
      </c>
      <c r="G1217" s="9">
        <v>32</v>
      </c>
      <c r="H1217" s="9">
        <v>50</v>
      </c>
      <c r="I1217" s="9">
        <f t="shared" si="82"/>
        <v>44.6</v>
      </c>
      <c r="J1217" s="9"/>
      <c r="K1217" s="3">
        <v>40</v>
      </c>
      <c r="L1217" s="3">
        <v>4</v>
      </c>
    </row>
    <row r="1218" spans="1:12" ht="18.75" customHeight="1">
      <c r="A1218" s="3" t="str">
        <f>"10522018030212081183122"</f>
        <v>10522018030212081183122</v>
      </c>
      <c r="B1218" s="8" t="s">
        <v>34</v>
      </c>
      <c r="C1218" s="9" t="str">
        <f>"男"</f>
        <v>男</v>
      </c>
      <c r="D1218" s="9" t="str">
        <f>"341224199308098270"</f>
        <v>341224199308098270</v>
      </c>
      <c r="E1218" s="14" t="str">
        <f>"预防医学"</f>
        <v>预防医学</v>
      </c>
      <c r="F1218" s="9" t="str">
        <f>"2018014026"</f>
        <v>2018014026</v>
      </c>
      <c r="G1218" s="9">
        <v>60</v>
      </c>
      <c r="H1218" s="9">
        <v>71</v>
      </c>
      <c r="I1218" s="9">
        <f t="shared" si="82"/>
        <v>67.699999999999989</v>
      </c>
      <c r="J1218" s="9"/>
      <c r="K1218" s="3">
        <v>40</v>
      </c>
      <c r="L1218" s="3">
        <v>26</v>
      </c>
    </row>
    <row r="1219" spans="1:12" ht="18.75" customHeight="1">
      <c r="A1219" s="3" t="str">
        <f>"10522018030209180083083"</f>
        <v>10522018030209180083083</v>
      </c>
      <c r="B1219" s="8" t="s">
        <v>34</v>
      </c>
      <c r="C1219" s="9" t="str">
        <f>"男"</f>
        <v>男</v>
      </c>
      <c r="D1219" s="9" t="str">
        <f>"341281199103164219"</f>
        <v>341281199103164219</v>
      </c>
      <c r="E1219" s="14" t="str">
        <f>"预防医学"</f>
        <v>预防医学</v>
      </c>
      <c r="F1219" s="9" t="str">
        <f>"2018014025"</f>
        <v>2018014025</v>
      </c>
      <c r="G1219" s="9">
        <v>56.5</v>
      </c>
      <c r="H1219" s="9">
        <v>65</v>
      </c>
      <c r="I1219" s="9">
        <f t="shared" ref="I1219:I1223" si="88">G1219*0.3+H1219*0.7</f>
        <v>62.45</v>
      </c>
      <c r="J1219" s="9"/>
      <c r="K1219" s="3">
        <v>40</v>
      </c>
      <c r="L1219" s="3">
        <v>25</v>
      </c>
    </row>
    <row r="1220" spans="1:12" ht="18.75" customHeight="1">
      <c r="A1220" s="3" t="str">
        <f>"10522018022817254282664"</f>
        <v>10522018022817254282664</v>
      </c>
      <c r="B1220" s="8" t="s">
        <v>34</v>
      </c>
      <c r="C1220" s="9" t="str">
        <f>"男"</f>
        <v>男</v>
      </c>
      <c r="D1220" s="9" t="str">
        <f>"341281199306202051"</f>
        <v>341281199306202051</v>
      </c>
      <c r="E1220" s="14" t="str">
        <f>"预防医学"</f>
        <v>预防医学</v>
      </c>
      <c r="F1220" s="9" t="str">
        <f>"2018014027"</f>
        <v>2018014027</v>
      </c>
      <c r="G1220" s="9">
        <v>0</v>
      </c>
      <c r="H1220" s="9">
        <v>0</v>
      </c>
      <c r="I1220" s="9">
        <f t="shared" si="88"/>
        <v>0</v>
      </c>
      <c r="J1220" s="10" t="s">
        <v>4</v>
      </c>
      <c r="K1220" s="3">
        <v>40</v>
      </c>
      <c r="L1220" s="3">
        <v>27</v>
      </c>
    </row>
    <row r="1221" spans="1:12" ht="18.75" customHeight="1">
      <c r="A1221" s="3" t="str">
        <f>"10522018022710445882184"</f>
        <v>10522018022710445882184</v>
      </c>
      <c r="B1221" s="8" t="s">
        <v>35</v>
      </c>
      <c r="C1221" s="9" t="str">
        <f>"女"</f>
        <v>女</v>
      </c>
      <c r="D1221" s="9" t="str">
        <f>"341621199402200721"</f>
        <v>341621199402200721</v>
      </c>
      <c r="E1221" s="14" t="str">
        <f>"软件工程"</f>
        <v>软件工程</v>
      </c>
      <c r="F1221" s="9" t="str">
        <f>"2018014029"</f>
        <v>2018014029</v>
      </c>
      <c r="G1221" s="9">
        <v>63</v>
      </c>
      <c r="H1221" s="9">
        <v>61</v>
      </c>
      <c r="I1221" s="9">
        <f t="shared" si="88"/>
        <v>61.599999999999994</v>
      </c>
      <c r="J1221" s="9"/>
      <c r="K1221" s="3">
        <v>40</v>
      </c>
      <c r="L1221" s="3">
        <v>29</v>
      </c>
    </row>
    <row r="1222" spans="1:12" ht="18.75" customHeight="1">
      <c r="A1222" s="3" t="str">
        <f>"10522018030118565482998"</f>
        <v>10522018030118565482998</v>
      </c>
      <c r="B1222" s="8" t="s">
        <v>35</v>
      </c>
      <c r="C1222" s="9" t="str">
        <f>"女"</f>
        <v>女</v>
      </c>
      <c r="D1222" s="9" t="str">
        <f>"342225199501133645"</f>
        <v>342225199501133645</v>
      </c>
      <c r="E1222" s="14" t="str">
        <f>"软件工程"</f>
        <v>软件工程</v>
      </c>
      <c r="F1222" s="9" t="str">
        <f>"2018014028"</f>
        <v>2018014028</v>
      </c>
      <c r="G1222" s="9">
        <v>0</v>
      </c>
      <c r="H1222" s="9">
        <v>0</v>
      </c>
      <c r="I1222" s="9">
        <f t="shared" si="88"/>
        <v>0</v>
      </c>
      <c r="J1222" s="10" t="s">
        <v>4</v>
      </c>
      <c r="K1222" s="3">
        <v>40</v>
      </c>
      <c r="L1222" s="3">
        <v>28</v>
      </c>
    </row>
    <row r="1223" spans="1:12" ht="18.75" customHeight="1">
      <c r="A1223" s="3" t="str">
        <f>"10522018030116554882964"</f>
        <v>10522018030116554882964</v>
      </c>
      <c r="B1223" s="8" t="s">
        <v>35</v>
      </c>
      <c r="C1223" s="9" t="str">
        <f>"女"</f>
        <v>女</v>
      </c>
      <c r="D1223" s="9" t="str">
        <f>"34252919950626542X"</f>
        <v>34252919950626542X</v>
      </c>
      <c r="E1223" s="14" t="str">
        <f>"软件工程"</f>
        <v>软件工程</v>
      </c>
      <c r="F1223" s="9" t="str">
        <f>"2018014030"</f>
        <v>2018014030</v>
      </c>
      <c r="G1223" s="9">
        <v>0</v>
      </c>
      <c r="H1223" s="9">
        <v>0</v>
      </c>
      <c r="I1223" s="9">
        <f t="shared" si="88"/>
        <v>0</v>
      </c>
      <c r="J1223" s="10" t="s">
        <v>4</v>
      </c>
      <c r="K1223" s="3">
        <v>40</v>
      </c>
      <c r="L1223" s="3">
        <v>30</v>
      </c>
    </row>
  </sheetData>
  <sortState ref="A2:O1222">
    <sortCondition ref="B2:B1222"/>
    <sortCondition descending="1" ref="I2:I1222"/>
  </sortState>
  <mergeCells count="1">
    <mergeCell ref="B1:J1"/>
  </mergeCells>
  <phoneticPr fontId="1" type="noConversion"/>
  <pageMargins left="0.47244094488188981" right="0.39370078740157483" top="0.6692913385826772" bottom="0.54" header="0.51181102362204722" footer="0.31496062992125984"/>
  <pageSetup paperSize="9" orientation="portrait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微软用户</cp:lastModifiedBy>
  <cp:lastPrinted>2018-04-02T08:33:31Z</cp:lastPrinted>
  <dcterms:created xsi:type="dcterms:W3CDTF">2018-03-26T06:28:53Z</dcterms:created>
  <dcterms:modified xsi:type="dcterms:W3CDTF">2018-04-04T09:39:11Z</dcterms:modified>
</cp:coreProperties>
</file>