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0730" windowHeight="11145"/>
  </bookViews>
  <sheets>
    <sheet name="资格复审名单" sheetId="1" r:id="rId1"/>
  </sheets>
  <definedNames>
    <definedName name="_xlnm._FilterDatabase" localSheetId="0" hidden="1">资格复审名单!$K$1:$K$453</definedName>
    <definedName name="_xlnm.Print_Titles" localSheetId="0">资格复审名单!$2:$2</definedName>
  </definedNames>
  <calcPr calcId="125725"/>
</workbook>
</file>

<file path=xl/calcChain.xml><?xml version="1.0" encoding="utf-8"?>
<calcChain xmlns="http://schemas.openxmlformats.org/spreadsheetml/2006/main">
  <c r="J16" i="1"/>
  <c r="J52"/>
  <c r="J23"/>
  <c r="J22"/>
  <c r="J21"/>
  <c r="J35"/>
  <c r="J15"/>
  <c r="J53"/>
  <c r="J18"/>
  <c r="J12"/>
  <c r="J25"/>
  <c r="J7"/>
  <c r="J63"/>
  <c r="J64"/>
  <c r="J10"/>
  <c r="J57"/>
  <c r="J43"/>
  <c r="J34"/>
  <c r="J46"/>
  <c r="J54"/>
  <c r="J51"/>
  <c r="J8"/>
  <c r="J49"/>
  <c r="J37"/>
  <c r="J27"/>
  <c r="J50"/>
  <c r="J30"/>
  <c r="J33"/>
  <c r="J38"/>
  <c r="J62"/>
  <c r="J58"/>
  <c r="J61"/>
  <c r="J11"/>
  <c r="J3"/>
  <c r="J20"/>
  <c r="J6"/>
  <c r="J4"/>
  <c r="J29"/>
  <c r="J17"/>
  <c r="J56"/>
  <c r="J31"/>
  <c r="J40"/>
  <c r="J24"/>
  <c r="J9"/>
  <c r="J14"/>
  <c r="J59"/>
  <c r="J41"/>
  <c r="J47"/>
  <c r="J45"/>
  <c r="J36"/>
  <c r="J5"/>
  <c r="J32"/>
  <c r="J60"/>
  <c r="J28"/>
  <c r="J39"/>
  <c r="J19"/>
  <c r="J13"/>
  <c r="J81"/>
  <c r="J82"/>
  <c r="J84"/>
  <c r="J77"/>
  <c r="J83"/>
  <c r="J79"/>
  <c r="J78"/>
  <c r="J85"/>
  <c r="J80"/>
  <c r="J303"/>
  <c r="J100"/>
  <c r="J105"/>
  <c r="J99"/>
  <c r="J103"/>
  <c r="J101"/>
  <c r="J107"/>
  <c r="J98"/>
  <c r="J110"/>
  <c r="J109"/>
  <c r="J97"/>
  <c r="J108"/>
  <c r="J104"/>
  <c r="J102"/>
  <c r="J106"/>
  <c r="J177"/>
  <c r="J170"/>
  <c r="J212"/>
  <c r="J143"/>
  <c r="J115"/>
  <c r="J214"/>
  <c r="J180"/>
  <c r="J156"/>
  <c r="J114"/>
  <c r="J211"/>
  <c r="J216"/>
  <c r="J131"/>
  <c r="J159"/>
  <c r="J223"/>
  <c r="J141"/>
  <c r="J112"/>
  <c r="J167"/>
  <c r="J137"/>
  <c r="J136"/>
  <c r="J208"/>
  <c r="J225"/>
  <c r="J226"/>
  <c r="J217"/>
  <c r="J149"/>
  <c r="J186"/>
  <c r="J127"/>
  <c r="J174"/>
  <c r="J116"/>
  <c r="J224"/>
  <c r="J150"/>
  <c r="J153"/>
  <c r="J122"/>
  <c r="J161"/>
  <c r="J228"/>
  <c r="J113"/>
  <c r="J183"/>
  <c r="J185"/>
  <c r="J158"/>
  <c r="J222"/>
  <c r="J199"/>
  <c r="J218"/>
  <c r="J187"/>
  <c r="J129"/>
  <c r="J193"/>
  <c r="J197"/>
  <c r="J205"/>
  <c r="J151"/>
  <c r="J134"/>
  <c r="J126"/>
  <c r="J155"/>
  <c r="J230"/>
  <c r="J182"/>
  <c r="J175"/>
  <c r="J204"/>
  <c r="J121"/>
  <c r="J191"/>
  <c r="J190"/>
  <c r="J140"/>
  <c r="J133"/>
  <c r="J111"/>
  <c r="J202"/>
  <c r="J152"/>
  <c r="J184"/>
  <c r="J188"/>
  <c r="J206"/>
  <c r="J163"/>
  <c r="J123"/>
  <c r="J196"/>
  <c r="J178"/>
  <c r="J179"/>
  <c r="J154"/>
  <c r="J200"/>
  <c r="J120"/>
  <c r="J145"/>
  <c r="J221"/>
  <c r="J128"/>
  <c r="J227"/>
  <c r="J142"/>
  <c r="J215"/>
  <c r="J194"/>
  <c r="J138"/>
  <c r="J198"/>
  <c r="J132"/>
  <c r="J144"/>
  <c r="J201"/>
  <c r="J165"/>
  <c r="J168"/>
  <c r="J171"/>
  <c r="J176"/>
  <c r="J125"/>
  <c r="J219"/>
  <c r="J139"/>
  <c r="J118"/>
  <c r="J195"/>
  <c r="J209"/>
  <c r="J147"/>
  <c r="J220"/>
  <c r="J172"/>
  <c r="J189"/>
  <c r="J173"/>
  <c r="J166"/>
  <c r="J207"/>
  <c r="J119"/>
  <c r="J229"/>
  <c r="J146"/>
  <c r="J181"/>
  <c r="J135"/>
  <c r="J124"/>
  <c r="J117"/>
  <c r="J203"/>
  <c r="J213"/>
  <c r="J130"/>
  <c r="J169"/>
  <c r="J210"/>
  <c r="J148"/>
  <c r="J160"/>
  <c r="J162"/>
  <c r="J192"/>
  <c r="J164"/>
  <c r="J157"/>
  <c r="J249"/>
  <c r="J255"/>
  <c r="J250"/>
  <c r="J237"/>
  <c r="J244"/>
  <c r="J254"/>
  <c r="J240"/>
  <c r="J258"/>
  <c r="J261"/>
  <c r="J235"/>
  <c r="J238"/>
  <c r="J241"/>
  <c r="J242"/>
  <c r="J257"/>
  <c r="J231"/>
  <c r="J256"/>
  <c r="J236"/>
  <c r="J233"/>
  <c r="J245"/>
  <c r="J251"/>
  <c r="J232"/>
  <c r="J260"/>
  <c r="J252"/>
  <c r="J239"/>
  <c r="J248"/>
  <c r="J253"/>
  <c r="J246"/>
  <c r="J259"/>
  <c r="J234"/>
  <c r="J243"/>
  <c r="J247"/>
  <c r="J387"/>
  <c r="J394"/>
  <c r="J433"/>
  <c r="J422"/>
  <c r="J336"/>
  <c r="J364"/>
  <c r="J368"/>
  <c r="J323"/>
  <c r="J419"/>
  <c r="J411"/>
  <c r="J389"/>
  <c r="J385"/>
  <c r="J362"/>
  <c r="J415"/>
  <c r="J324"/>
  <c r="J416"/>
  <c r="J423"/>
  <c r="J393"/>
  <c r="J322"/>
  <c r="J371"/>
  <c r="J342"/>
  <c r="J382"/>
  <c r="J333"/>
  <c r="J413"/>
  <c r="J421"/>
  <c r="J329"/>
  <c r="J331"/>
  <c r="J396"/>
  <c r="J330"/>
  <c r="J363"/>
  <c r="J420"/>
  <c r="J366"/>
  <c r="J347"/>
  <c r="J326"/>
  <c r="J436"/>
  <c r="J339"/>
  <c r="J370"/>
  <c r="J334"/>
  <c r="J404"/>
  <c r="J377"/>
  <c r="J321"/>
  <c r="J352"/>
  <c r="J372"/>
  <c r="J378"/>
  <c r="J417"/>
  <c r="J317"/>
  <c r="J319"/>
  <c r="J434"/>
  <c r="J388"/>
  <c r="J360"/>
  <c r="J386"/>
  <c r="J395"/>
  <c r="J391"/>
  <c r="J354"/>
  <c r="J374"/>
  <c r="J407"/>
  <c r="J430"/>
  <c r="J412"/>
  <c r="J358"/>
  <c r="J400"/>
  <c r="J327"/>
  <c r="J367"/>
  <c r="J381"/>
  <c r="J335"/>
  <c r="J325"/>
  <c r="J425"/>
  <c r="J355"/>
  <c r="J428"/>
  <c r="J384"/>
  <c r="J375"/>
  <c r="J405"/>
  <c r="J408"/>
  <c r="J351"/>
  <c r="J401"/>
  <c r="J328"/>
  <c r="J350"/>
  <c r="J332"/>
  <c r="J341"/>
  <c r="J318"/>
  <c r="J398"/>
  <c r="J348"/>
  <c r="J390"/>
  <c r="J379"/>
  <c r="J435"/>
  <c r="J320"/>
  <c r="J432"/>
  <c r="J343"/>
  <c r="J376"/>
  <c r="J344"/>
  <c r="J426"/>
  <c r="J403"/>
  <c r="J340"/>
  <c r="J429"/>
  <c r="J414"/>
  <c r="J402"/>
  <c r="J361"/>
  <c r="J365"/>
  <c r="J373"/>
  <c r="J397"/>
  <c r="J338"/>
  <c r="J337"/>
  <c r="J357"/>
  <c r="J349"/>
  <c r="J424"/>
  <c r="J353"/>
  <c r="J369"/>
  <c r="J418"/>
  <c r="J410"/>
  <c r="J380"/>
  <c r="J346"/>
  <c r="J431"/>
  <c r="J399"/>
  <c r="J345"/>
  <c r="J383"/>
  <c r="J406"/>
  <c r="J392"/>
  <c r="J409"/>
  <c r="J359"/>
  <c r="J356"/>
  <c r="J264"/>
  <c r="J278"/>
  <c r="J285"/>
  <c r="J276"/>
  <c r="J282"/>
  <c r="J262"/>
  <c r="J265"/>
  <c r="J274"/>
  <c r="J272"/>
  <c r="J279"/>
  <c r="J269"/>
  <c r="J281"/>
  <c r="J280"/>
  <c r="J273"/>
  <c r="J271"/>
  <c r="J267"/>
  <c r="J283"/>
  <c r="J284"/>
  <c r="J277"/>
  <c r="J270"/>
  <c r="J263"/>
  <c r="J266"/>
  <c r="J268"/>
  <c r="J275"/>
  <c r="J439"/>
  <c r="J450"/>
  <c r="J443"/>
  <c r="J55"/>
  <c r="J48"/>
  <c r="J42"/>
  <c r="J26"/>
  <c r="J65"/>
  <c r="J67"/>
  <c r="J66"/>
  <c r="J296"/>
  <c r="J297"/>
  <c r="J298"/>
  <c r="J70"/>
  <c r="J69"/>
  <c r="J68"/>
  <c r="J299"/>
  <c r="J72"/>
  <c r="J73"/>
  <c r="J71"/>
  <c r="J301"/>
  <c r="J300"/>
  <c r="J95"/>
  <c r="J93"/>
  <c r="J94"/>
  <c r="J88"/>
  <c r="J87"/>
  <c r="J89"/>
  <c r="J90"/>
  <c r="J86"/>
  <c r="J91"/>
  <c r="J92"/>
  <c r="J427"/>
  <c r="J438"/>
  <c r="J437"/>
  <c r="J74"/>
  <c r="J76"/>
  <c r="J75"/>
  <c r="J309"/>
  <c r="J307"/>
  <c r="J306"/>
  <c r="J305"/>
  <c r="J304"/>
  <c r="J308"/>
  <c r="J302"/>
  <c r="J96"/>
  <c r="J316"/>
  <c r="J315"/>
  <c r="J313"/>
  <c r="J314"/>
  <c r="J312"/>
  <c r="J311"/>
  <c r="J310"/>
  <c r="J442"/>
  <c r="J441"/>
  <c r="J440"/>
  <c r="J444"/>
  <c r="J446"/>
  <c r="J445"/>
  <c r="J447"/>
  <c r="J449"/>
  <c r="J448"/>
  <c r="J286"/>
  <c r="J289"/>
  <c r="J287"/>
  <c r="J288"/>
  <c r="J452"/>
  <c r="J451"/>
  <c r="J453"/>
  <c r="J292"/>
  <c r="J291"/>
  <c r="J290"/>
  <c r="J294"/>
  <c r="J295"/>
  <c r="J293"/>
  <c r="J44"/>
  <c r="A307"/>
  <c r="D307"/>
  <c r="E307"/>
  <c r="F307"/>
  <c r="G307"/>
  <c r="A191"/>
  <c r="D191"/>
  <c r="E191"/>
  <c r="F191"/>
  <c r="G191"/>
  <c r="A259"/>
  <c r="D259"/>
  <c r="E259"/>
  <c r="F259"/>
  <c r="G259"/>
  <c r="A437"/>
  <c r="D437"/>
  <c r="E437"/>
  <c r="F437"/>
  <c r="G437"/>
  <c r="A32"/>
  <c r="D32"/>
  <c r="E32"/>
  <c r="F32"/>
  <c r="G32"/>
  <c r="A10"/>
  <c r="D10"/>
  <c r="E10"/>
  <c r="F10"/>
  <c r="G10"/>
  <c r="A301"/>
  <c r="D301"/>
  <c r="E301"/>
  <c r="F301"/>
  <c r="G301"/>
  <c r="A295"/>
  <c r="D295"/>
  <c r="E295"/>
  <c r="F295"/>
  <c r="G295"/>
  <c r="A95"/>
  <c r="D95"/>
  <c r="E95"/>
  <c r="F95"/>
  <c r="G95"/>
  <c r="A115"/>
  <c r="D115"/>
  <c r="E115"/>
  <c r="F115"/>
  <c r="G115"/>
  <c r="A324"/>
  <c r="D324"/>
  <c r="E324"/>
  <c r="F324"/>
  <c r="G324"/>
  <c r="A381"/>
  <c r="D381"/>
  <c r="E381"/>
  <c r="F381"/>
  <c r="G381"/>
  <c r="A25"/>
  <c r="D25"/>
  <c r="E25"/>
  <c r="F25"/>
  <c r="G25"/>
  <c r="A149"/>
  <c r="D149"/>
  <c r="E149"/>
  <c r="F149"/>
  <c r="G149"/>
  <c r="A271"/>
  <c r="D271"/>
  <c r="E271"/>
  <c r="F271"/>
  <c r="G271"/>
  <c r="A407"/>
  <c r="D407"/>
  <c r="E407"/>
  <c r="F407"/>
  <c r="G407"/>
  <c r="A190"/>
  <c r="D190"/>
  <c r="E190"/>
  <c r="F190"/>
  <c r="G190"/>
  <c r="A222"/>
  <c r="D222"/>
  <c r="E222"/>
  <c r="F222"/>
  <c r="G222"/>
  <c r="A442"/>
  <c r="D442"/>
  <c r="E442"/>
  <c r="F442"/>
  <c r="G442"/>
  <c r="A3"/>
  <c r="D3"/>
  <c r="E3"/>
  <c r="F3"/>
  <c r="G3"/>
  <c r="A371"/>
  <c r="D371"/>
  <c r="E371"/>
  <c r="F371"/>
  <c r="G371"/>
  <c r="A335"/>
  <c r="D335"/>
  <c r="E335"/>
  <c r="F335"/>
  <c r="G335"/>
  <c r="A239"/>
  <c r="D239"/>
  <c r="E239"/>
  <c r="F239"/>
  <c r="G239"/>
  <c r="A164"/>
  <c r="D164"/>
  <c r="E164"/>
  <c r="F164"/>
  <c r="G164"/>
  <c r="A117"/>
  <c r="D117"/>
  <c r="E117"/>
  <c r="F117"/>
  <c r="G117"/>
  <c r="A151"/>
  <c r="D151"/>
  <c r="E151"/>
  <c r="F151"/>
  <c r="G151"/>
  <c r="A84"/>
  <c r="D84"/>
  <c r="E84"/>
  <c r="F84"/>
  <c r="G84"/>
  <c r="A208"/>
  <c r="D208"/>
  <c r="E208"/>
  <c r="F208"/>
  <c r="G208"/>
  <c r="A388"/>
  <c r="D388"/>
  <c r="E388"/>
  <c r="F388"/>
  <c r="G388"/>
  <c r="A171"/>
  <c r="D171"/>
  <c r="E171"/>
  <c r="F171"/>
  <c r="G171"/>
  <c r="A244"/>
  <c r="D244"/>
  <c r="E244"/>
  <c r="F244"/>
  <c r="G244"/>
  <c r="A56"/>
  <c r="D56"/>
  <c r="E56"/>
  <c r="F56"/>
  <c r="G56"/>
  <c r="A214"/>
  <c r="D214"/>
  <c r="E214"/>
  <c r="F214"/>
  <c r="G214"/>
  <c r="A29"/>
  <c r="D29"/>
  <c r="E29"/>
  <c r="F29"/>
  <c r="G29"/>
  <c r="A267"/>
  <c r="D267"/>
  <c r="E267"/>
  <c r="F267"/>
  <c r="G267"/>
  <c r="A15"/>
  <c r="D15"/>
  <c r="E15"/>
  <c r="F15"/>
  <c r="G15"/>
  <c r="A206"/>
  <c r="D206"/>
  <c r="E206"/>
  <c r="F206"/>
  <c r="G206"/>
  <c r="A14"/>
  <c r="D14"/>
  <c r="E14"/>
  <c r="F14"/>
  <c r="G14"/>
  <c r="A66"/>
  <c r="D66"/>
  <c r="E66"/>
  <c r="F66"/>
  <c r="G66"/>
  <c r="A404"/>
  <c r="D404"/>
  <c r="E404"/>
  <c r="F404"/>
  <c r="G404"/>
  <c r="A402"/>
  <c r="D402"/>
  <c r="E402"/>
  <c r="F402"/>
  <c r="G402"/>
  <c r="A111"/>
  <c r="D111"/>
  <c r="E111"/>
  <c r="F111"/>
  <c r="G111"/>
  <c r="A108"/>
  <c r="D108"/>
  <c r="E108"/>
  <c r="F108"/>
  <c r="G108"/>
  <c r="A143"/>
  <c r="D143"/>
  <c r="E143"/>
  <c r="F143"/>
  <c r="G143"/>
  <c r="A300"/>
  <c r="D300"/>
  <c r="E300"/>
  <c r="F300"/>
  <c r="G300"/>
  <c r="A195"/>
  <c r="D195"/>
  <c r="E195"/>
  <c r="F195"/>
  <c r="G195"/>
  <c r="A179"/>
  <c r="D179"/>
  <c r="E179"/>
  <c r="F179"/>
  <c r="G179"/>
  <c r="A224"/>
  <c r="D224"/>
  <c r="E224"/>
  <c r="F224"/>
  <c r="G224"/>
  <c r="A212"/>
  <c r="D212"/>
  <c r="E212"/>
  <c r="F212"/>
  <c r="G212"/>
  <c r="A255"/>
  <c r="D255"/>
  <c r="E255"/>
  <c r="F255"/>
  <c r="G255"/>
  <c r="A137"/>
  <c r="D137"/>
  <c r="E137"/>
  <c r="F137"/>
  <c r="G137"/>
  <c r="A262"/>
  <c r="D262"/>
  <c r="E262"/>
  <c r="F262"/>
  <c r="G262"/>
  <c r="A97"/>
  <c r="D97"/>
  <c r="E97"/>
  <c r="F97"/>
  <c r="G97"/>
  <c r="A354"/>
  <c r="D354"/>
  <c r="E354"/>
  <c r="F354"/>
  <c r="G354"/>
  <c r="A77"/>
  <c r="D77"/>
  <c r="E77"/>
  <c r="F77"/>
  <c r="G77"/>
  <c r="A47"/>
  <c r="D47"/>
  <c r="E47"/>
  <c r="F47"/>
  <c r="G47"/>
  <c r="A443"/>
  <c r="D443"/>
  <c r="E443"/>
  <c r="F443"/>
  <c r="G443"/>
  <c r="A258"/>
  <c r="D258"/>
  <c r="E258"/>
  <c r="F258"/>
  <c r="G258"/>
  <c r="A83"/>
  <c r="D83"/>
  <c r="E83"/>
  <c r="F83"/>
  <c r="G83"/>
  <c r="A252"/>
  <c r="D252"/>
  <c r="E252"/>
  <c r="F252"/>
  <c r="G252"/>
  <c r="A172"/>
  <c r="D172"/>
  <c r="E172"/>
  <c r="F172"/>
  <c r="G172"/>
  <c r="A418"/>
  <c r="D418"/>
  <c r="E418"/>
  <c r="F418"/>
  <c r="G418"/>
  <c r="A173"/>
  <c r="D173"/>
  <c r="E173"/>
  <c r="F173"/>
  <c r="G173"/>
  <c r="A180"/>
  <c r="D180"/>
  <c r="E180"/>
  <c r="F180"/>
  <c r="G180"/>
  <c r="A440"/>
  <c r="D440"/>
  <c r="E440"/>
  <c r="F440"/>
  <c r="G440"/>
  <c r="A427"/>
  <c r="D427"/>
  <c r="E427"/>
  <c r="F427"/>
  <c r="G427"/>
  <c r="A279"/>
  <c r="D279"/>
  <c r="E279"/>
  <c r="F279"/>
  <c r="G279"/>
  <c r="A165"/>
  <c r="D165"/>
  <c r="E165"/>
  <c r="F165"/>
  <c r="G165"/>
  <c r="A220"/>
  <c r="D220"/>
  <c r="E220"/>
  <c r="F220"/>
  <c r="G220"/>
  <c r="A41"/>
  <c r="D41"/>
  <c r="E41"/>
  <c r="F41"/>
  <c r="G41"/>
  <c r="A273"/>
  <c r="D273"/>
  <c r="E273"/>
  <c r="F273"/>
  <c r="G273"/>
  <c r="A113"/>
  <c r="D113"/>
  <c r="E113"/>
  <c r="F113"/>
  <c r="G113"/>
  <c r="A120"/>
  <c r="D120"/>
  <c r="E120"/>
  <c r="F120"/>
  <c r="G120"/>
  <c r="A187"/>
  <c r="D187"/>
  <c r="E187"/>
  <c r="F187"/>
  <c r="G187"/>
  <c r="A138"/>
  <c r="D138"/>
  <c r="E138"/>
  <c r="F138"/>
  <c r="G138"/>
  <c r="A318"/>
  <c r="D318"/>
  <c r="E318"/>
  <c r="F318"/>
  <c r="G318"/>
  <c r="A387"/>
  <c r="D387"/>
  <c r="E387"/>
  <c r="F387"/>
  <c r="G387"/>
  <c r="A118"/>
  <c r="D118"/>
  <c r="E118"/>
  <c r="F118"/>
  <c r="G118"/>
  <c r="A88"/>
  <c r="D88"/>
  <c r="E88"/>
  <c r="F88"/>
  <c r="G88"/>
  <c r="A253"/>
  <c r="D253"/>
  <c r="E253"/>
  <c r="F253"/>
  <c r="G253"/>
  <c r="A44"/>
  <c r="D44"/>
  <c r="E44"/>
  <c r="F44"/>
  <c r="G44"/>
  <c r="A146"/>
  <c r="D146"/>
  <c r="E146"/>
  <c r="F146"/>
  <c r="G146"/>
  <c r="A133"/>
  <c r="D133"/>
  <c r="E133"/>
  <c r="F133"/>
  <c r="G133"/>
  <c r="A237"/>
  <c r="D237"/>
  <c r="E237"/>
  <c r="F237"/>
  <c r="G237"/>
  <c r="A182"/>
  <c r="D182"/>
  <c r="E182"/>
  <c r="F182"/>
  <c r="G182"/>
  <c r="A333"/>
  <c r="D333"/>
  <c r="E333"/>
  <c r="F333"/>
  <c r="G333"/>
  <c r="A177"/>
  <c r="D177"/>
  <c r="E177"/>
  <c r="F177"/>
  <c r="G177"/>
  <c r="A104"/>
  <c r="D104"/>
  <c r="E104"/>
  <c r="F104"/>
  <c r="G104"/>
  <c r="A122"/>
  <c r="D122"/>
  <c r="E122"/>
  <c r="F122"/>
  <c r="G122"/>
  <c r="A323"/>
  <c r="D323"/>
  <c r="E323"/>
  <c r="F323"/>
  <c r="G323"/>
  <c r="A42"/>
  <c r="D42"/>
  <c r="E42"/>
  <c r="F42"/>
  <c r="G42"/>
  <c r="A221"/>
  <c r="D221"/>
  <c r="E221"/>
  <c r="F221"/>
  <c r="G221"/>
  <c r="A365"/>
  <c r="D365"/>
  <c r="E365"/>
  <c r="F365"/>
  <c r="G365"/>
  <c r="A72"/>
  <c r="D72"/>
  <c r="E72"/>
  <c r="F72"/>
  <c r="G72"/>
  <c r="A366"/>
  <c r="D366"/>
  <c r="E366"/>
  <c r="F366"/>
  <c r="G366"/>
  <c r="A27"/>
  <c r="D27"/>
  <c r="E27"/>
  <c r="F27"/>
  <c r="G27"/>
  <c r="A305"/>
  <c r="D305"/>
  <c r="E305"/>
  <c r="F305"/>
  <c r="G305"/>
  <c r="A168"/>
  <c r="D168"/>
  <c r="E168"/>
  <c r="F168"/>
  <c r="G168"/>
  <c r="A217"/>
  <c r="D217"/>
  <c r="E217"/>
  <c r="F217"/>
  <c r="G217"/>
  <c r="A125"/>
  <c r="D125"/>
  <c r="E125"/>
  <c r="F125"/>
  <c r="G125"/>
  <c r="A370"/>
  <c r="D370"/>
  <c r="E370"/>
  <c r="F370"/>
  <c r="G370"/>
  <c r="A317"/>
  <c r="D317"/>
  <c r="E317"/>
  <c r="F317"/>
  <c r="G317"/>
  <c r="A31"/>
  <c r="D31"/>
  <c r="E31"/>
  <c r="F31"/>
  <c r="G31"/>
  <c r="A216"/>
  <c r="D216"/>
  <c r="E216"/>
  <c r="F216"/>
  <c r="G216"/>
  <c r="A9"/>
  <c r="D9"/>
  <c r="E9"/>
  <c r="F9"/>
  <c r="G9"/>
  <c r="A433"/>
  <c r="D433"/>
  <c r="E433"/>
  <c r="F433"/>
  <c r="G433"/>
  <c r="A139"/>
  <c r="D139"/>
  <c r="E139"/>
  <c r="F139"/>
  <c r="G139"/>
  <c r="A135"/>
  <c r="D135"/>
  <c r="E135"/>
  <c r="F135"/>
  <c r="G135"/>
  <c r="A250"/>
  <c r="D250"/>
  <c r="E250"/>
  <c r="F250"/>
  <c r="G250"/>
  <c r="A99"/>
  <c r="D99"/>
  <c r="E99"/>
  <c r="F99"/>
  <c r="G99"/>
  <c r="A276"/>
  <c r="D276"/>
  <c r="E276"/>
  <c r="F276"/>
  <c r="G276"/>
  <c r="A23"/>
  <c r="D23"/>
  <c r="E23"/>
  <c r="F23"/>
  <c r="G23"/>
  <c r="A147"/>
  <c r="D147"/>
  <c r="E147"/>
  <c r="F147"/>
  <c r="G147"/>
  <c r="A65"/>
  <c r="D65"/>
  <c r="E65"/>
  <c r="F65"/>
  <c r="G65"/>
  <c r="A82"/>
  <c r="D82"/>
  <c r="E82"/>
  <c r="F82"/>
  <c r="G82"/>
  <c r="A17"/>
  <c r="D17"/>
  <c r="E17"/>
  <c r="F17"/>
  <c r="G17"/>
  <c r="A264"/>
  <c r="D264"/>
  <c r="E264"/>
  <c r="F264"/>
  <c r="G264"/>
  <c r="A315"/>
  <c r="D315"/>
  <c r="E315"/>
  <c r="F315"/>
  <c r="G315"/>
  <c r="A383"/>
  <c r="D383"/>
  <c r="E383"/>
  <c r="F383"/>
  <c r="G383"/>
  <c r="A30"/>
  <c r="D30"/>
  <c r="E30"/>
  <c r="F30"/>
  <c r="G30"/>
  <c r="A238"/>
  <c r="D238"/>
  <c r="E238"/>
  <c r="F238"/>
  <c r="G238"/>
  <c r="A346"/>
  <c r="D346"/>
  <c r="E346"/>
  <c r="F346"/>
  <c r="G346"/>
  <c r="A78"/>
  <c r="D78"/>
  <c r="E78"/>
  <c r="F78"/>
  <c r="G78"/>
  <c r="A39"/>
  <c r="D39"/>
  <c r="E39"/>
  <c r="F39"/>
  <c r="G39"/>
  <c r="A202"/>
  <c r="D202"/>
  <c r="E202"/>
  <c r="F202"/>
  <c r="G202"/>
  <c r="A26"/>
  <c r="D26"/>
  <c r="E26"/>
  <c r="F26"/>
  <c r="G26"/>
  <c r="A53"/>
  <c r="D53"/>
  <c r="E53"/>
  <c r="F53"/>
  <c r="G53"/>
  <c r="A142"/>
  <c r="D142"/>
  <c r="E142"/>
  <c r="F142"/>
  <c r="G142"/>
  <c r="A178"/>
  <c r="D178"/>
  <c r="E178"/>
  <c r="F178"/>
  <c r="G178"/>
  <c r="A128"/>
  <c r="D128"/>
  <c r="E128"/>
  <c r="F128"/>
  <c r="G128"/>
  <c r="A107"/>
  <c r="D107"/>
  <c r="E107"/>
  <c r="F107"/>
  <c r="G107"/>
  <c r="A309"/>
  <c r="D309"/>
  <c r="E309"/>
  <c r="F309"/>
  <c r="G309"/>
  <c r="A119"/>
  <c r="D119"/>
  <c r="E119"/>
  <c r="F119"/>
  <c r="G119"/>
  <c r="A277"/>
  <c r="D277"/>
  <c r="E277"/>
  <c r="F277"/>
  <c r="G277"/>
  <c r="A243"/>
  <c r="D243"/>
  <c r="E243"/>
  <c r="F243"/>
  <c r="G243"/>
  <c r="A167"/>
  <c r="D167"/>
  <c r="E167"/>
  <c r="F167"/>
  <c r="G167"/>
  <c r="A410"/>
  <c r="D410"/>
  <c r="E410"/>
  <c r="F410"/>
  <c r="G410"/>
  <c r="A35"/>
  <c r="D35"/>
  <c r="E35"/>
  <c r="F35"/>
  <c r="G35"/>
  <c r="A223"/>
  <c r="D223"/>
  <c r="E223"/>
  <c r="F223"/>
  <c r="G223"/>
  <c r="A193"/>
  <c r="D193"/>
  <c r="E193"/>
  <c r="F193"/>
  <c r="G193"/>
  <c r="A231"/>
  <c r="D231"/>
  <c r="E231"/>
  <c r="F231"/>
  <c r="G231"/>
  <c r="A274"/>
  <c r="D274"/>
  <c r="E274"/>
  <c r="F274"/>
  <c r="G274"/>
  <c r="A248"/>
  <c r="D248"/>
  <c r="E248"/>
  <c r="F248"/>
  <c r="G248"/>
  <c r="A226"/>
  <c r="D226"/>
  <c r="E226"/>
  <c r="F226"/>
  <c r="G226"/>
  <c r="A45"/>
  <c r="D45"/>
  <c r="E45"/>
  <c r="F45"/>
  <c r="G45"/>
  <c r="A313"/>
  <c r="D313"/>
  <c r="E313"/>
  <c r="F313"/>
  <c r="G313"/>
  <c r="A28"/>
  <c r="D28"/>
  <c r="E28"/>
  <c r="F28"/>
  <c r="G28"/>
  <c r="A75"/>
  <c r="D75"/>
  <c r="E75"/>
  <c r="F75"/>
  <c r="G75"/>
  <c r="A308"/>
  <c r="D308"/>
  <c r="E308"/>
  <c r="F308"/>
  <c r="G308"/>
  <c r="A312"/>
  <c r="D312"/>
  <c r="E312"/>
  <c r="F312"/>
  <c r="G312"/>
  <c r="A416"/>
  <c r="D416"/>
  <c r="E416"/>
  <c r="F416"/>
  <c r="G416"/>
  <c r="A141"/>
  <c r="D141"/>
  <c r="E141"/>
  <c r="F141"/>
  <c r="G141"/>
  <c r="A121"/>
  <c r="D121"/>
  <c r="E121"/>
  <c r="F121"/>
  <c r="G121"/>
  <c r="A85"/>
  <c r="D85"/>
  <c r="E85"/>
  <c r="F85"/>
  <c r="G85"/>
  <c r="A399"/>
  <c r="D399"/>
  <c r="E399"/>
  <c r="F399"/>
  <c r="G399"/>
  <c r="A101"/>
  <c r="D101"/>
  <c r="E101"/>
  <c r="F101"/>
  <c r="G101"/>
  <c r="A257"/>
  <c r="D257"/>
  <c r="E257"/>
  <c r="F257"/>
  <c r="G257"/>
  <c r="A235"/>
  <c r="D235"/>
  <c r="E235"/>
  <c r="F235"/>
  <c r="G235"/>
  <c r="A234"/>
  <c r="D234"/>
  <c r="E234"/>
  <c r="F234"/>
  <c r="G234"/>
  <c r="A374"/>
  <c r="D374"/>
  <c r="E374"/>
  <c r="F374"/>
  <c r="G374"/>
  <c r="A288"/>
  <c r="D288"/>
  <c r="E288"/>
  <c r="F288"/>
  <c r="G288"/>
  <c r="A299"/>
  <c r="D299"/>
  <c r="E299"/>
  <c r="F299"/>
  <c r="G299"/>
  <c r="A200"/>
  <c r="D200"/>
  <c r="E200"/>
  <c r="F200"/>
  <c r="G200"/>
  <c r="A199"/>
  <c r="D199"/>
  <c r="E199"/>
  <c r="F199"/>
  <c r="G199"/>
  <c r="A6"/>
  <c r="D6"/>
  <c r="E6"/>
  <c r="F6"/>
  <c r="G6"/>
  <c r="A46"/>
  <c r="D46"/>
  <c r="E46"/>
  <c r="F46"/>
  <c r="G46"/>
  <c r="A105"/>
  <c r="D105"/>
  <c r="E105"/>
  <c r="F105"/>
  <c r="G105"/>
  <c r="A426"/>
  <c r="D426"/>
  <c r="E426"/>
  <c r="F426"/>
  <c r="G426"/>
  <c r="A22"/>
  <c r="D22"/>
  <c r="E22"/>
  <c r="F22"/>
  <c r="G22"/>
  <c r="A391"/>
  <c r="D391"/>
  <c r="E391"/>
  <c r="F391"/>
  <c r="G391"/>
  <c r="A446"/>
  <c r="D446"/>
  <c r="E446"/>
  <c r="F446"/>
  <c r="G446"/>
  <c r="A154"/>
  <c r="D154"/>
  <c r="E154"/>
  <c r="F154"/>
  <c r="G154"/>
  <c r="A395"/>
  <c r="D395"/>
  <c r="E395"/>
  <c r="F395"/>
  <c r="G395"/>
  <c r="A136"/>
  <c r="D136"/>
  <c r="E136"/>
  <c r="F136"/>
  <c r="G136"/>
  <c r="A358"/>
  <c r="D358"/>
  <c r="E358"/>
  <c r="F358"/>
  <c r="G358"/>
  <c r="A337"/>
  <c r="D337"/>
  <c r="E337"/>
  <c r="F337"/>
  <c r="G337"/>
  <c r="A87"/>
  <c r="D87"/>
  <c r="E87"/>
  <c r="F87"/>
  <c r="G87"/>
  <c r="A166"/>
  <c r="D166"/>
  <c r="E166"/>
  <c r="F166"/>
  <c r="G166"/>
  <c r="A408"/>
  <c r="D408"/>
  <c r="E408"/>
  <c r="F408"/>
  <c r="G408"/>
  <c r="A207"/>
  <c r="D207"/>
  <c r="E207"/>
  <c r="F207"/>
  <c r="G207"/>
  <c r="A405"/>
  <c r="D405"/>
  <c r="E405"/>
  <c r="F405"/>
  <c r="G405"/>
  <c r="A327"/>
  <c r="D327"/>
  <c r="E327"/>
  <c r="F327"/>
  <c r="G327"/>
  <c r="A282"/>
  <c r="D282"/>
  <c r="E282"/>
  <c r="F282"/>
  <c r="G282"/>
  <c r="A52"/>
  <c r="D52"/>
  <c r="E52"/>
  <c r="F52"/>
  <c r="G52"/>
  <c r="A432"/>
  <c r="D432"/>
  <c r="E432"/>
  <c r="F432"/>
  <c r="G432"/>
  <c r="A362"/>
  <c r="D362"/>
  <c r="E362"/>
  <c r="F362"/>
  <c r="G362"/>
  <c r="A112"/>
  <c r="D112"/>
  <c r="E112"/>
  <c r="F112"/>
  <c r="G112"/>
  <c r="A357"/>
  <c r="D357"/>
  <c r="E357"/>
  <c r="F357"/>
  <c r="G357"/>
  <c r="A368"/>
  <c r="D368"/>
  <c r="E368"/>
  <c r="F368"/>
  <c r="G368"/>
  <c r="A145"/>
  <c r="D145"/>
  <c r="E145"/>
  <c r="F145"/>
  <c r="G145"/>
  <c r="A201"/>
  <c r="D201"/>
  <c r="E201"/>
  <c r="F201"/>
  <c r="G201"/>
  <c r="A71"/>
  <c r="D71"/>
  <c r="E71"/>
  <c r="F71"/>
  <c r="G71"/>
  <c r="A439"/>
  <c r="D439"/>
  <c r="E439"/>
  <c r="F439"/>
  <c r="G439"/>
  <c r="A98"/>
  <c r="D98"/>
  <c r="E98"/>
  <c r="F98"/>
  <c r="G98"/>
  <c r="A289"/>
  <c r="D289"/>
  <c r="E289"/>
  <c r="F289"/>
  <c r="G289"/>
  <c r="A341"/>
  <c r="D341"/>
  <c r="E341"/>
  <c r="F341"/>
  <c r="G341"/>
  <c r="A409"/>
  <c r="D409"/>
  <c r="E409"/>
  <c r="F409"/>
  <c r="G409"/>
  <c r="A162"/>
  <c r="D162"/>
  <c r="E162"/>
  <c r="F162"/>
  <c r="G162"/>
  <c r="A352"/>
  <c r="D352"/>
  <c r="E352"/>
  <c r="F352"/>
  <c r="G352"/>
  <c r="A396"/>
  <c r="D396"/>
  <c r="E396"/>
  <c r="F396"/>
  <c r="G396"/>
  <c r="A114"/>
  <c r="D114"/>
  <c r="E114"/>
  <c r="F114"/>
  <c r="G114"/>
  <c r="A126"/>
  <c r="D126"/>
  <c r="E126"/>
  <c r="F126"/>
  <c r="G126"/>
  <c r="A280"/>
  <c r="D280"/>
  <c r="E280"/>
  <c r="F280"/>
  <c r="G280"/>
  <c r="A453"/>
  <c r="D453"/>
  <c r="E453"/>
  <c r="F453"/>
  <c r="G453"/>
  <c r="A209"/>
  <c r="D209"/>
  <c r="E209"/>
  <c r="F209"/>
  <c r="G209"/>
  <c r="A336"/>
  <c r="D336"/>
  <c r="E336"/>
  <c r="F336"/>
  <c r="G336"/>
  <c r="A269"/>
  <c r="D269"/>
  <c r="E269"/>
  <c r="F269"/>
  <c r="G269"/>
  <c r="A94"/>
  <c r="D94"/>
  <c r="E94"/>
  <c r="F94"/>
  <c r="G94"/>
  <c r="A218"/>
  <c r="D218"/>
  <c r="E218"/>
  <c r="F218"/>
  <c r="G218"/>
  <c r="A74"/>
  <c r="D74"/>
  <c r="E74"/>
  <c r="F74"/>
  <c r="G74"/>
  <c r="A297"/>
  <c r="D297"/>
  <c r="E297"/>
  <c r="F297"/>
  <c r="G297"/>
  <c r="A91"/>
  <c r="D91"/>
  <c r="E91"/>
  <c r="F91"/>
  <c r="G91"/>
  <c r="A380"/>
  <c r="D380"/>
  <c r="E380"/>
  <c r="F380"/>
  <c r="G380"/>
  <c r="A132"/>
  <c r="D132"/>
  <c r="E132"/>
  <c r="F132"/>
  <c r="G132"/>
  <c r="A129"/>
  <c r="D129"/>
  <c r="E129"/>
  <c r="F129"/>
  <c r="G129"/>
  <c r="A329"/>
  <c r="D329"/>
  <c r="E329"/>
  <c r="F329"/>
  <c r="G329"/>
  <c r="A103"/>
  <c r="D103"/>
  <c r="E103"/>
  <c r="F103"/>
  <c r="G103"/>
  <c r="A55"/>
  <c r="D55"/>
  <c r="E55"/>
  <c r="F55"/>
  <c r="G55"/>
  <c r="A148"/>
  <c r="D148"/>
  <c r="E148"/>
  <c r="F148"/>
  <c r="G148"/>
  <c r="A431"/>
  <c r="D431"/>
  <c r="E431"/>
  <c r="F431"/>
  <c r="G431"/>
  <c r="A161"/>
  <c r="D161"/>
  <c r="E161"/>
  <c r="F161"/>
  <c r="G161"/>
  <c r="A90"/>
  <c r="D90"/>
  <c r="E90"/>
  <c r="F90"/>
  <c r="G90"/>
  <c r="A174"/>
  <c r="D174"/>
  <c r="E174"/>
  <c r="F174"/>
  <c r="G174"/>
  <c r="A100"/>
  <c r="D100"/>
  <c r="E100"/>
  <c r="F100"/>
  <c r="G100"/>
  <c r="A210"/>
  <c r="D210"/>
  <c r="E210"/>
  <c r="F210"/>
  <c r="G210"/>
  <c r="A64"/>
  <c r="D64"/>
  <c r="E64"/>
  <c r="F64"/>
  <c r="G64"/>
  <c r="A196"/>
  <c r="D196"/>
  <c r="E196"/>
  <c r="F196"/>
  <c r="G196"/>
  <c r="A306"/>
  <c r="D306"/>
  <c r="E306"/>
  <c r="F306"/>
  <c r="G306"/>
  <c r="A377"/>
  <c r="D377"/>
  <c r="E377"/>
  <c r="F377"/>
  <c r="G377"/>
  <c r="A73"/>
  <c r="D73"/>
  <c r="E73"/>
  <c r="F73"/>
  <c r="G73"/>
  <c r="A79"/>
  <c r="D79"/>
  <c r="E79"/>
  <c r="F79"/>
  <c r="G79"/>
  <c r="A376"/>
  <c r="D376"/>
  <c r="E376"/>
  <c r="F376"/>
  <c r="G376"/>
  <c r="A283"/>
  <c r="D283"/>
  <c r="E283"/>
  <c r="F283"/>
  <c r="G283"/>
  <c r="A292"/>
  <c r="D292"/>
  <c r="E292"/>
  <c r="F292"/>
  <c r="G292"/>
  <c r="A175"/>
  <c r="D175"/>
  <c r="E175"/>
  <c r="F175"/>
  <c r="G175"/>
  <c r="A188"/>
  <c r="D188"/>
  <c r="E188"/>
  <c r="F188"/>
  <c r="G188"/>
  <c r="A37"/>
  <c r="D37"/>
  <c r="E37"/>
  <c r="F37"/>
  <c r="G37"/>
  <c r="A386"/>
  <c r="D386"/>
  <c r="E386"/>
  <c r="F386"/>
  <c r="G386"/>
  <c r="A124"/>
  <c r="D124"/>
  <c r="E124"/>
  <c r="F124"/>
  <c r="G124"/>
  <c r="A304"/>
  <c r="D304"/>
  <c r="E304"/>
  <c r="F304"/>
  <c r="G304"/>
  <c r="A390"/>
  <c r="D390"/>
  <c r="E390"/>
  <c r="F390"/>
  <c r="G390"/>
  <c r="A36"/>
  <c r="D36"/>
  <c r="E36"/>
  <c r="F36"/>
  <c r="G36"/>
  <c r="A278"/>
  <c r="D278"/>
  <c r="E278"/>
  <c r="F278"/>
  <c r="G278"/>
  <c r="A67"/>
  <c r="D67"/>
  <c r="E67"/>
  <c r="F67"/>
  <c r="G67"/>
  <c r="A68"/>
  <c r="D68"/>
  <c r="E68"/>
  <c r="F68"/>
  <c r="G68"/>
  <c r="A394"/>
  <c r="D394"/>
  <c r="E394"/>
  <c r="F394"/>
  <c r="G394"/>
  <c r="A80"/>
  <c r="D80"/>
  <c r="E80"/>
  <c r="F80"/>
  <c r="G80"/>
  <c r="A213"/>
  <c r="D213"/>
  <c r="E213"/>
  <c r="F213"/>
  <c r="G213"/>
  <c r="A43"/>
  <c r="D43"/>
  <c r="E43"/>
  <c r="F43"/>
  <c r="G43"/>
  <c r="A127"/>
  <c r="D127"/>
  <c r="E127"/>
  <c r="F127"/>
  <c r="G127"/>
  <c r="A106"/>
  <c r="D106"/>
  <c r="E106"/>
  <c r="F106"/>
  <c r="G106"/>
  <c r="A8"/>
  <c r="D8"/>
  <c r="E8"/>
  <c r="F8"/>
  <c r="G8"/>
  <c r="A293"/>
  <c r="D293"/>
  <c r="E293"/>
  <c r="F293"/>
  <c r="G293"/>
  <c r="A445"/>
  <c r="D445"/>
  <c r="E445"/>
  <c r="F445"/>
  <c r="G445"/>
  <c r="A189"/>
  <c r="D189"/>
  <c r="E189"/>
  <c r="F189"/>
  <c r="G189"/>
  <c r="A342"/>
  <c r="D342"/>
  <c r="E342"/>
  <c r="F342"/>
  <c r="G342"/>
  <c r="A435"/>
  <c r="D435"/>
  <c r="E435"/>
  <c r="F435"/>
  <c r="G435"/>
  <c r="A303"/>
  <c r="D303"/>
  <c r="E303"/>
  <c r="F303"/>
  <c r="G303"/>
  <c r="A384"/>
  <c r="D384"/>
  <c r="E384"/>
  <c r="F384"/>
  <c r="G384"/>
  <c r="A11"/>
  <c r="D11"/>
  <c r="E11"/>
  <c r="F11"/>
  <c r="G11"/>
  <c r="A81"/>
  <c r="D81"/>
  <c r="E81"/>
  <c r="F81"/>
  <c r="G81"/>
  <c r="A241"/>
  <c r="D241"/>
  <c r="E241"/>
  <c r="F241"/>
  <c r="G241"/>
  <c r="A116"/>
  <c r="D116"/>
  <c r="E116"/>
  <c r="F116"/>
  <c r="G116"/>
  <c r="A92"/>
  <c r="D92"/>
  <c r="E92"/>
  <c r="F92"/>
  <c r="G92"/>
  <c r="A131"/>
  <c r="D131"/>
  <c r="E131"/>
  <c r="F131"/>
  <c r="G131"/>
  <c r="A181"/>
  <c r="D181"/>
  <c r="E181"/>
  <c r="F181"/>
  <c r="G181"/>
  <c r="A59"/>
  <c r="D59"/>
  <c r="E59"/>
  <c r="F59"/>
  <c r="G59"/>
  <c r="A5"/>
  <c r="D5"/>
  <c r="E5"/>
  <c r="F5"/>
  <c r="G5"/>
  <c r="A140"/>
  <c r="D140"/>
  <c r="E140"/>
  <c r="F140"/>
  <c r="G140"/>
  <c r="A397"/>
  <c r="D397"/>
  <c r="E397"/>
  <c r="F397"/>
  <c r="G397"/>
  <c r="A169"/>
  <c r="D169"/>
  <c r="E169"/>
  <c r="F169"/>
  <c r="G169"/>
  <c r="A205"/>
  <c r="D205"/>
  <c r="E205"/>
  <c r="F205"/>
  <c r="G205"/>
  <c r="A102"/>
  <c r="D102"/>
  <c r="E102"/>
  <c r="F102"/>
  <c r="G102"/>
  <c r="A360"/>
  <c r="D360"/>
  <c r="E360"/>
  <c r="F360"/>
  <c r="G360"/>
  <c r="A254"/>
  <c r="D254"/>
  <c r="E254"/>
  <c r="F254"/>
  <c r="G254"/>
  <c r="A343"/>
  <c r="D343"/>
  <c r="E343"/>
  <c r="F343"/>
  <c r="G343"/>
  <c r="A86"/>
  <c r="D86"/>
  <c r="E86"/>
  <c r="F86"/>
  <c r="G86"/>
  <c r="A429"/>
  <c r="D429"/>
  <c r="E429"/>
  <c r="F429"/>
  <c r="G429"/>
  <c r="A351"/>
  <c r="D351"/>
  <c r="E351"/>
  <c r="F351"/>
  <c r="G351"/>
  <c r="A425"/>
  <c r="D425"/>
  <c r="E425"/>
  <c r="F425"/>
  <c r="G425"/>
  <c r="A225"/>
  <c r="D225"/>
  <c r="E225"/>
  <c r="F225"/>
  <c r="G225"/>
  <c r="A110"/>
  <c r="D110"/>
  <c r="E110"/>
  <c r="F110"/>
  <c r="G110"/>
  <c r="A21"/>
  <c r="D21"/>
  <c r="E21"/>
  <c r="F21"/>
  <c r="G21"/>
  <c r="A109"/>
  <c r="D109"/>
  <c r="E109"/>
  <c r="F109"/>
  <c r="G109"/>
  <c r="A20"/>
  <c r="D20"/>
  <c r="E20"/>
  <c r="F20"/>
  <c r="G20"/>
  <c r="A428"/>
  <c r="D428"/>
  <c r="E428"/>
  <c r="F428"/>
  <c r="G428"/>
  <c r="A353"/>
  <c r="D353"/>
  <c r="E353"/>
  <c r="F353"/>
  <c r="G353"/>
  <c r="A150"/>
  <c r="D150"/>
  <c r="E150"/>
  <c r="F150"/>
  <c r="G150"/>
  <c r="A229"/>
  <c r="D229"/>
  <c r="E229"/>
  <c r="F229"/>
  <c r="G229"/>
  <c r="A134"/>
  <c r="D134"/>
  <c r="E134"/>
  <c r="F134"/>
  <c r="G134"/>
  <c r="A89"/>
  <c r="D89"/>
  <c r="E89"/>
  <c r="F89"/>
  <c r="G89"/>
  <c r="A421"/>
  <c r="D421"/>
  <c r="E421"/>
  <c r="F421"/>
  <c r="G421"/>
  <c r="A411"/>
  <c r="D411"/>
  <c r="E411"/>
  <c r="F411"/>
  <c r="G411"/>
  <c r="A438"/>
  <c r="D438"/>
  <c r="E438"/>
  <c r="F438"/>
  <c r="G438"/>
  <c r="A123"/>
  <c r="D123"/>
  <c r="E123"/>
  <c r="F123"/>
  <c r="G123"/>
  <c r="A247"/>
  <c r="D247"/>
  <c r="E247"/>
  <c r="F247"/>
  <c r="G247"/>
  <c r="A227"/>
  <c r="D227"/>
  <c r="E227"/>
  <c r="F227"/>
  <c r="G227"/>
  <c r="A40"/>
  <c r="D40"/>
  <c r="E40"/>
  <c r="F40"/>
  <c r="G40"/>
  <c r="A401"/>
  <c r="D401"/>
  <c r="E401"/>
  <c r="F401"/>
  <c r="G401"/>
  <c r="A233"/>
  <c r="D233"/>
  <c r="E233"/>
  <c r="F233"/>
  <c r="G233"/>
  <c r="A450"/>
  <c r="D450"/>
  <c r="E450"/>
  <c r="F450"/>
  <c r="G450"/>
  <c r="A211"/>
  <c r="D211"/>
  <c r="E211"/>
  <c r="F211"/>
  <c r="G211"/>
  <c r="A281"/>
  <c r="D281"/>
  <c r="E281"/>
  <c r="F281"/>
  <c r="G281"/>
  <c r="A265"/>
  <c r="D265"/>
  <c r="E265"/>
  <c r="F265"/>
  <c r="G265"/>
  <c r="A361"/>
  <c r="D361"/>
  <c r="E361"/>
  <c r="F361"/>
  <c r="G361"/>
  <c r="A372"/>
  <c r="D372"/>
  <c r="E372"/>
  <c r="F372"/>
  <c r="G372"/>
  <c r="A290"/>
  <c r="D290"/>
  <c r="E290"/>
  <c r="F290"/>
  <c r="G290"/>
  <c r="A355"/>
  <c r="D355"/>
  <c r="E355"/>
  <c r="F355"/>
  <c r="G355"/>
  <c r="A406"/>
  <c r="D406"/>
  <c r="E406"/>
  <c r="F406"/>
  <c r="G406"/>
  <c r="A296"/>
  <c r="D296"/>
  <c r="E296"/>
  <c r="F296"/>
  <c r="G296"/>
  <c r="A314"/>
  <c r="D314"/>
  <c r="E314"/>
  <c r="F314"/>
  <c r="G314"/>
  <c r="A160"/>
  <c r="D160"/>
  <c r="E160"/>
  <c r="F160"/>
  <c r="G160"/>
  <c r="A7"/>
  <c r="D7"/>
  <c r="E7"/>
  <c r="F7"/>
  <c r="G7"/>
  <c r="A198"/>
  <c r="D198"/>
  <c r="E198"/>
  <c r="F198"/>
  <c r="G198"/>
  <c r="A153"/>
  <c r="D153"/>
  <c r="E153"/>
  <c r="F153"/>
  <c r="G153"/>
  <c r="A392"/>
  <c r="D392"/>
  <c r="E392"/>
  <c r="F392"/>
  <c r="G392"/>
  <c r="A170"/>
  <c r="D170"/>
  <c r="E170"/>
  <c r="F170"/>
  <c r="G170"/>
  <c r="A158"/>
  <c r="D158"/>
  <c r="E158"/>
  <c r="F158"/>
  <c r="G158"/>
  <c r="A393"/>
  <c r="D393"/>
  <c r="E393"/>
  <c r="F393"/>
  <c r="G393"/>
  <c r="A420"/>
  <c r="D420"/>
  <c r="E420"/>
  <c r="F420"/>
  <c r="G420"/>
  <c r="A302"/>
  <c r="D302"/>
  <c r="E302"/>
  <c r="F302"/>
  <c r="G302"/>
  <c r="A331"/>
  <c r="D331"/>
  <c r="E331"/>
  <c r="F331"/>
  <c r="G331"/>
  <c r="A60"/>
  <c r="D60"/>
  <c r="E60"/>
  <c r="F60"/>
  <c r="G60"/>
  <c r="A155"/>
  <c r="D155"/>
  <c r="E155"/>
  <c r="F155"/>
  <c r="G155"/>
  <c r="A415"/>
  <c r="D415"/>
  <c r="E415"/>
  <c r="F415"/>
  <c r="G415"/>
  <c r="A144"/>
  <c r="D144"/>
  <c r="E144"/>
  <c r="F144"/>
  <c r="G144"/>
  <c r="A251"/>
  <c r="D251"/>
  <c r="E251"/>
  <c r="F251"/>
  <c r="G251"/>
  <c r="A185"/>
  <c r="D185"/>
  <c r="E185"/>
  <c r="F185"/>
  <c r="G185"/>
  <c r="A70"/>
  <c r="D70"/>
  <c r="E70"/>
  <c r="F70"/>
  <c r="G70"/>
  <c r="A232"/>
  <c r="D232"/>
  <c r="E232"/>
  <c r="F232"/>
  <c r="G232"/>
  <c r="A230"/>
  <c r="D230"/>
  <c r="E230"/>
  <c r="F230"/>
  <c r="G230"/>
  <c r="A334"/>
  <c r="D334"/>
  <c r="E334"/>
  <c r="F334"/>
  <c r="G334"/>
  <c r="A434"/>
  <c r="D434"/>
  <c r="E434"/>
  <c r="F434"/>
  <c r="G434"/>
  <c r="A13"/>
  <c r="D13"/>
  <c r="E13"/>
  <c r="F13"/>
  <c r="G13"/>
  <c r="A430"/>
  <c r="D430"/>
  <c r="E430"/>
  <c r="F430"/>
  <c r="G430"/>
  <c r="A54"/>
  <c r="D54"/>
  <c r="E54"/>
  <c r="F54"/>
  <c r="G54"/>
  <c r="A350"/>
  <c r="D350"/>
  <c r="E350"/>
  <c r="F350"/>
  <c r="G350"/>
  <c r="A330"/>
  <c r="D330"/>
  <c r="E330"/>
  <c r="F330"/>
  <c r="G330"/>
  <c r="A448"/>
  <c r="D448"/>
  <c r="E448"/>
  <c r="F448"/>
  <c r="G448"/>
  <c r="A340"/>
  <c r="D340"/>
  <c r="E340"/>
  <c r="F340"/>
  <c r="G340"/>
  <c r="A382"/>
  <c r="D382"/>
  <c r="E382"/>
  <c r="F382"/>
  <c r="G382"/>
  <c r="A319"/>
  <c r="D319"/>
  <c r="E319"/>
  <c r="F319"/>
  <c r="G319"/>
  <c r="A18"/>
  <c r="D18"/>
  <c r="E18"/>
  <c r="F18"/>
  <c r="G18"/>
  <c r="A93"/>
  <c r="D93"/>
  <c r="E93"/>
  <c r="F93"/>
  <c r="G93"/>
  <c r="A49"/>
  <c r="D49"/>
  <c r="E49"/>
  <c r="F49"/>
  <c r="G49"/>
  <c r="A186"/>
  <c r="D186"/>
  <c r="E186"/>
  <c r="F186"/>
  <c r="G186"/>
  <c r="A347"/>
  <c r="D347"/>
  <c r="E347"/>
  <c r="F347"/>
  <c r="G347"/>
  <c r="A194"/>
  <c r="D194"/>
  <c r="E194"/>
  <c r="F194"/>
  <c r="G194"/>
  <c r="A240"/>
  <c r="D240"/>
  <c r="E240"/>
  <c r="F240"/>
  <c r="G240"/>
  <c r="A339"/>
  <c r="D339"/>
  <c r="E339"/>
  <c r="F339"/>
  <c r="G339"/>
  <c r="A320"/>
  <c r="D320"/>
  <c r="E320"/>
  <c r="F320"/>
  <c r="G320"/>
  <c r="A311"/>
  <c r="D311"/>
  <c r="E311"/>
  <c r="F311"/>
  <c r="G311"/>
  <c r="A159"/>
  <c r="D159"/>
  <c r="E159"/>
  <c r="F159"/>
  <c r="G159"/>
  <c r="A62"/>
  <c r="D62"/>
  <c r="E62"/>
  <c r="F62"/>
  <c r="G62"/>
  <c r="A246"/>
  <c r="D246"/>
  <c r="E246"/>
  <c r="F246"/>
  <c r="G246"/>
  <c r="A204"/>
  <c r="D204"/>
  <c r="E204"/>
  <c r="F204"/>
  <c r="G204"/>
  <c r="A245"/>
  <c r="D245"/>
  <c r="E245"/>
  <c r="F245"/>
  <c r="G245"/>
  <c r="A184"/>
  <c r="D184"/>
  <c r="E184"/>
  <c r="F184"/>
  <c r="G184"/>
  <c r="A63"/>
  <c r="D63"/>
  <c r="E63"/>
  <c r="F63"/>
  <c r="G63"/>
  <c r="A4"/>
  <c r="D4"/>
  <c r="E4"/>
  <c r="F4"/>
  <c r="G4"/>
  <c r="A367"/>
  <c r="D367"/>
  <c r="E367"/>
  <c r="F367"/>
  <c r="G367"/>
  <c r="A328"/>
  <c r="D328"/>
  <c r="E328"/>
  <c r="F328"/>
  <c r="G328"/>
  <c r="A163"/>
  <c r="D163"/>
  <c r="E163"/>
  <c r="F163"/>
  <c r="G163"/>
  <c r="A275"/>
  <c r="D275"/>
  <c r="E275"/>
  <c r="F275"/>
  <c r="G275"/>
  <c r="A412"/>
  <c r="D412"/>
  <c r="E412"/>
  <c r="F412"/>
  <c r="G412"/>
  <c r="A152"/>
  <c r="D152"/>
  <c r="E152"/>
  <c r="F152"/>
  <c r="G152"/>
  <c r="A291"/>
  <c r="D291"/>
  <c r="E291"/>
  <c r="F291"/>
  <c r="G291"/>
  <c r="A436"/>
  <c r="D436"/>
  <c r="E436"/>
  <c r="F436"/>
  <c r="G436"/>
  <c r="A261"/>
  <c r="D261"/>
  <c r="E261"/>
  <c r="F261"/>
  <c r="G261"/>
  <c r="A69"/>
  <c r="D69"/>
  <c r="E69"/>
  <c r="F69"/>
  <c r="G69"/>
  <c r="A322"/>
  <c r="D322"/>
  <c r="E322"/>
  <c r="F322"/>
  <c r="G322"/>
  <c r="A417"/>
  <c r="D417"/>
  <c r="E417"/>
  <c r="F417"/>
  <c r="G417"/>
  <c r="A197"/>
  <c r="D197"/>
  <c r="E197"/>
  <c r="F197"/>
  <c r="G197"/>
  <c r="A294"/>
  <c r="D294"/>
  <c r="E294"/>
  <c r="F294"/>
  <c r="G294"/>
  <c r="A441"/>
  <c r="D441"/>
  <c r="E441"/>
  <c r="F441"/>
  <c r="G441"/>
  <c r="A48"/>
  <c r="D48"/>
  <c r="E48"/>
  <c r="F48"/>
  <c r="G48"/>
  <c r="A236"/>
  <c r="D236"/>
  <c r="E236"/>
  <c r="F236"/>
  <c r="G236"/>
  <c r="A316"/>
  <c r="D316"/>
  <c r="E316"/>
  <c r="F316"/>
  <c r="G316"/>
  <c r="A345"/>
  <c r="D345"/>
  <c r="E345"/>
  <c r="F345"/>
  <c r="G345"/>
  <c r="A256"/>
  <c r="D256"/>
  <c r="E256"/>
  <c r="F256"/>
  <c r="G256"/>
  <c r="A449"/>
  <c r="D449"/>
  <c r="E449"/>
  <c r="F449"/>
  <c r="G449"/>
  <c r="A424"/>
  <c r="D424"/>
  <c r="E424"/>
  <c r="F424"/>
  <c r="G424"/>
  <c r="A50"/>
  <c r="D50"/>
  <c r="E50"/>
  <c r="F50"/>
  <c r="G50"/>
  <c r="A96"/>
  <c r="D96"/>
  <c r="E96"/>
  <c r="F96"/>
  <c r="G96"/>
  <c r="A268"/>
  <c r="D268"/>
  <c r="E268"/>
  <c r="F268"/>
  <c r="G268"/>
  <c r="A272"/>
  <c r="D272"/>
  <c r="E272"/>
  <c r="F272"/>
  <c r="G272"/>
  <c r="A286"/>
  <c r="D286"/>
  <c r="E286"/>
  <c r="F286"/>
  <c r="G286"/>
  <c r="A176"/>
  <c r="D176"/>
  <c r="E176"/>
  <c r="F176"/>
  <c r="G176"/>
  <c r="A260"/>
  <c r="D260"/>
  <c r="E260"/>
  <c r="F260"/>
  <c r="G260"/>
  <c r="A266"/>
  <c r="D266"/>
  <c r="E266"/>
  <c r="F266"/>
  <c r="G266"/>
  <c r="A242"/>
  <c r="D242"/>
  <c r="E242"/>
  <c r="F242"/>
  <c r="G242"/>
  <c r="A192"/>
  <c r="D192"/>
  <c r="E192"/>
  <c r="F192"/>
  <c r="G192"/>
  <c r="A348"/>
  <c r="D348"/>
  <c r="E348"/>
  <c r="F348"/>
  <c r="G348"/>
  <c r="A356"/>
  <c r="D356"/>
  <c r="E356"/>
  <c r="F356"/>
  <c r="G356"/>
  <c r="A61"/>
  <c r="D61"/>
  <c r="E61"/>
  <c r="F61"/>
  <c r="G61"/>
  <c r="A51"/>
  <c r="D51"/>
  <c r="E51"/>
  <c r="F51"/>
  <c r="G51"/>
  <c r="A338"/>
  <c r="D338"/>
  <c r="E338"/>
  <c r="F338"/>
  <c r="G338"/>
  <c r="A215"/>
  <c r="D215"/>
  <c r="E215"/>
  <c r="F215"/>
  <c r="G215"/>
  <c r="A16"/>
  <c r="D16"/>
  <c r="E16"/>
  <c r="F16"/>
  <c r="G16"/>
  <c r="A379"/>
  <c r="D379"/>
  <c r="E379"/>
  <c r="F379"/>
  <c r="G379"/>
  <c r="A403"/>
  <c r="D403"/>
  <c r="E403"/>
  <c r="F403"/>
  <c r="G403"/>
  <c r="A183"/>
  <c r="D183"/>
  <c r="E183"/>
  <c r="F183"/>
  <c r="G183"/>
  <c r="A364"/>
  <c r="D364"/>
  <c r="E364"/>
  <c r="F364"/>
  <c r="G364"/>
  <c r="A414"/>
  <c r="D414"/>
  <c r="E414"/>
  <c r="F414"/>
  <c r="G414"/>
  <c r="A349"/>
  <c r="D349"/>
  <c r="E349"/>
  <c r="F349"/>
  <c r="G349"/>
  <c r="A263"/>
  <c r="D263"/>
  <c r="E263"/>
  <c r="F263"/>
  <c r="G263"/>
  <c r="A38"/>
  <c r="D38"/>
  <c r="E38"/>
  <c r="F38"/>
  <c r="G38"/>
  <c r="A422"/>
  <c r="D422"/>
  <c r="E422"/>
  <c r="F422"/>
  <c r="G422"/>
  <c r="A228"/>
  <c r="D228"/>
  <c r="E228"/>
  <c r="F228"/>
  <c r="G228"/>
  <c r="A130"/>
  <c r="D130"/>
  <c r="E130"/>
  <c r="F130"/>
  <c r="G130"/>
  <c r="A33"/>
  <c r="D33"/>
  <c r="E33"/>
  <c r="F33"/>
  <c r="G33"/>
  <c r="A270"/>
  <c r="D270"/>
  <c r="E270"/>
  <c r="F270"/>
  <c r="G270"/>
  <c r="A325"/>
  <c r="D325"/>
  <c r="E325"/>
  <c r="F325"/>
  <c r="G325"/>
  <c r="A369"/>
  <c r="D369"/>
  <c r="E369"/>
  <c r="F369"/>
  <c r="G369"/>
  <c r="A447"/>
  <c r="D447"/>
  <c r="E447"/>
  <c r="F447"/>
  <c r="G447"/>
  <c r="A375"/>
  <c r="D375"/>
  <c r="E375"/>
  <c r="F375"/>
  <c r="G375"/>
  <c r="A284"/>
  <c r="D284"/>
  <c r="E284"/>
  <c r="F284"/>
  <c r="G284"/>
  <c r="A359"/>
  <c r="D359"/>
  <c r="E359"/>
  <c r="F359"/>
  <c r="G359"/>
  <c r="A321"/>
  <c r="D321"/>
  <c r="E321"/>
  <c r="F321"/>
  <c r="G321"/>
  <c r="A413"/>
  <c r="D413"/>
  <c r="E413"/>
  <c r="F413"/>
  <c r="G413"/>
  <c r="A156"/>
  <c r="D156"/>
  <c r="E156"/>
  <c r="F156"/>
  <c r="G156"/>
  <c r="A287"/>
  <c r="D287"/>
  <c r="E287"/>
  <c r="F287"/>
  <c r="G287"/>
  <c r="A12"/>
  <c r="D12"/>
  <c r="E12"/>
  <c r="F12"/>
  <c r="G12"/>
  <c r="A378"/>
  <c r="D378"/>
  <c r="E378"/>
  <c r="F378"/>
  <c r="G378"/>
  <c r="A400"/>
  <c r="D400"/>
  <c r="E400"/>
  <c r="F400"/>
  <c r="G400"/>
  <c r="A249"/>
  <c r="D249"/>
  <c r="E249"/>
  <c r="F249"/>
  <c r="G249"/>
  <c r="A385"/>
  <c r="D385"/>
  <c r="E385"/>
  <c r="F385"/>
  <c r="G385"/>
  <c r="A419"/>
  <c r="D419"/>
  <c r="E419"/>
  <c r="F419"/>
  <c r="G419"/>
  <c r="A326"/>
  <c r="D326"/>
  <c r="E326"/>
  <c r="F326"/>
  <c r="G326"/>
  <c r="A373"/>
  <c r="D373"/>
  <c r="E373"/>
  <c r="F373"/>
  <c r="G373"/>
  <c r="A219"/>
  <c r="D219"/>
  <c r="E219"/>
  <c r="F219"/>
  <c r="G219"/>
  <c r="A363"/>
  <c r="D363"/>
  <c r="E363"/>
  <c r="F363"/>
  <c r="G363"/>
  <c r="A452"/>
  <c r="D452"/>
  <c r="E452"/>
  <c r="F452"/>
  <c r="G452"/>
  <c r="A332"/>
  <c r="D332"/>
  <c r="E332"/>
  <c r="F332"/>
  <c r="G332"/>
  <c r="A310"/>
  <c r="D310"/>
  <c r="E310"/>
  <c r="F310"/>
  <c r="G310"/>
  <c r="A423"/>
  <c r="D423"/>
  <c r="E423"/>
  <c r="F423"/>
  <c r="G423"/>
  <c r="A34"/>
  <c r="D34"/>
  <c r="E34"/>
  <c r="F34"/>
  <c r="G34"/>
  <c r="A19"/>
  <c r="D19"/>
  <c r="E19"/>
  <c r="F19"/>
  <c r="G19"/>
  <c r="A444"/>
  <c r="D444"/>
  <c r="E444"/>
  <c r="F444"/>
  <c r="G444"/>
  <c r="A203"/>
  <c r="D203"/>
  <c r="E203"/>
  <c r="F203"/>
  <c r="G203"/>
  <c r="A285"/>
  <c r="D285"/>
  <c r="E285"/>
  <c r="F285"/>
  <c r="G285"/>
  <c r="A451"/>
  <c r="D451"/>
  <c r="E451"/>
  <c r="F451"/>
  <c r="G451"/>
  <c r="A157"/>
  <c r="D157"/>
  <c r="E157"/>
  <c r="F157"/>
  <c r="G157"/>
  <c r="A344"/>
  <c r="D344"/>
  <c r="E344"/>
  <c r="F344"/>
  <c r="G344"/>
  <c r="A389"/>
  <c r="D389"/>
  <c r="E389"/>
  <c r="F389"/>
  <c r="G389"/>
  <c r="A398"/>
  <c r="D398"/>
  <c r="E398"/>
  <c r="F398"/>
  <c r="G398"/>
  <c r="A24"/>
  <c r="D24"/>
  <c r="E24"/>
  <c r="F24"/>
  <c r="G24"/>
  <c r="A298"/>
  <c r="D298"/>
  <c r="E298"/>
  <c r="F298"/>
  <c r="G298"/>
  <c r="A58"/>
  <c r="D58"/>
  <c r="E58"/>
  <c r="F58"/>
  <c r="G58"/>
  <c r="A76"/>
  <c r="D76"/>
  <c r="E76"/>
  <c r="F76"/>
  <c r="G76"/>
  <c r="A57"/>
  <c r="D57"/>
  <c r="E57"/>
  <c r="F57"/>
  <c r="G57"/>
</calcChain>
</file>

<file path=xl/sharedStrings.xml><?xml version="1.0" encoding="utf-8"?>
<sst xmlns="http://schemas.openxmlformats.org/spreadsheetml/2006/main" count="465" uniqueCount="42">
  <si>
    <r>
      <rPr>
        <sz val="12"/>
        <rFont val="宋体"/>
        <charset val="134"/>
      </rPr>
      <t>报考号</t>
    </r>
  </si>
  <si>
    <r>
      <rPr>
        <sz val="12"/>
        <rFont val="宋体"/>
        <charset val="134"/>
      </rPr>
      <t>考场号</t>
    </r>
  </si>
  <si>
    <r>
      <rPr>
        <sz val="12"/>
        <rFont val="宋体"/>
        <charset val="134"/>
      </rPr>
      <t>座位号</t>
    </r>
  </si>
  <si>
    <r>
      <t>180012_</t>
    </r>
    <r>
      <rPr>
        <sz val="11"/>
        <color indexed="8"/>
        <rFont val="宋体"/>
        <charset val="134"/>
      </rPr>
      <t>专业技术</t>
    </r>
  </si>
  <si>
    <r>
      <t>180017_</t>
    </r>
    <r>
      <rPr>
        <sz val="11"/>
        <color indexed="8"/>
        <rFont val="宋体"/>
        <charset val="134"/>
      </rPr>
      <t>专业技术</t>
    </r>
  </si>
  <si>
    <r>
      <t>180023_</t>
    </r>
    <r>
      <rPr>
        <sz val="11"/>
        <color indexed="8"/>
        <rFont val="宋体"/>
        <charset val="134"/>
      </rPr>
      <t>专业技术</t>
    </r>
  </si>
  <si>
    <r>
      <t>180024_</t>
    </r>
    <r>
      <rPr>
        <sz val="11"/>
        <color indexed="8"/>
        <rFont val="宋体"/>
        <charset val="134"/>
      </rPr>
      <t>专业技术</t>
    </r>
  </si>
  <si>
    <r>
      <t>180025_</t>
    </r>
    <r>
      <rPr>
        <sz val="11"/>
        <color indexed="8"/>
        <rFont val="宋体"/>
        <charset val="134"/>
      </rPr>
      <t>专业技术</t>
    </r>
  </si>
  <si>
    <r>
      <t>180027_</t>
    </r>
    <r>
      <rPr>
        <sz val="11"/>
        <color indexed="8"/>
        <rFont val="宋体"/>
        <charset val="134"/>
      </rPr>
      <t>专业技术</t>
    </r>
  </si>
  <si>
    <r>
      <t>180028_</t>
    </r>
    <r>
      <rPr>
        <sz val="11"/>
        <color indexed="8"/>
        <rFont val="宋体"/>
        <charset val="134"/>
      </rPr>
      <t>专业技术</t>
    </r>
  </si>
  <si>
    <r>
      <t>180029_</t>
    </r>
    <r>
      <rPr>
        <sz val="11"/>
        <color indexed="8"/>
        <rFont val="宋体"/>
        <charset val="134"/>
      </rPr>
      <t>专业技术</t>
    </r>
  </si>
  <si>
    <r>
      <t>180030_</t>
    </r>
    <r>
      <rPr>
        <sz val="11"/>
        <color indexed="8"/>
        <rFont val="宋体"/>
        <charset val="134"/>
      </rPr>
      <t>专业技术</t>
    </r>
  </si>
  <si>
    <r>
      <t>180031_</t>
    </r>
    <r>
      <rPr>
        <sz val="11"/>
        <color indexed="8"/>
        <rFont val="宋体"/>
        <charset val="134"/>
      </rPr>
      <t>专业技术</t>
    </r>
  </si>
  <si>
    <r>
      <t>180032_</t>
    </r>
    <r>
      <rPr>
        <sz val="11"/>
        <color indexed="8"/>
        <rFont val="宋体"/>
        <charset val="134"/>
      </rPr>
      <t>专业技术</t>
    </r>
  </si>
  <si>
    <r>
      <t>180034_</t>
    </r>
    <r>
      <rPr>
        <sz val="11"/>
        <color indexed="8"/>
        <rFont val="宋体"/>
        <charset val="134"/>
      </rPr>
      <t>专业技术</t>
    </r>
  </si>
  <si>
    <r>
      <t>180035_</t>
    </r>
    <r>
      <rPr>
        <sz val="11"/>
        <color indexed="8"/>
        <rFont val="宋体"/>
        <charset val="134"/>
      </rPr>
      <t>专业技术</t>
    </r>
  </si>
  <si>
    <r>
      <t>180036_</t>
    </r>
    <r>
      <rPr>
        <sz val="11"/>
        <color indexed="8"/>
        <rFont val="宋体"/>
        <charset val="134"/>
      </rPr>
      <t>专业技术</t>
    </r>
  </si>
  <si>
    <r>
      <t>180039_</t>
    </r>
    <r>
      <rPr>
        <sz val="11"/>
        <color indexed="8"/>
        <rFont val="宋体"/>
        <charset val="134"/>
      </rPr>
      <t>专业技术</t>
    </r>
  </si>
  <si>
    <r>
      <t>180040_</t>
    </r>
    <r>
      <rPr>
        <sz val="11"/>
        <color indexed="8"/>
        <rFont val="宋体"/>
        <charset val="134"/>
      </rPr>
      <t>专业技术</t>
    </r>
  </si>
  <si>
    <r>
      <t>180041_</t>
    </r>
    <r>
      <rPr>
        <sz val="11"/>
        <color indexed="8"/>
        <rFont val="宋体"/>
        <charset val="134"/>
      </rPr>
      <t>专业技术</t>
    </r>
  </si>
  <si>
    <r>
      <t>180056_</t>
    </r>
    <r>
      <rPr>
        <sz val="11"/>
        <color indexed="8"/>
        <rFont val="宋体"/>
        <charset val="134"/>
      </rPr>
      <t>专业技术</t>
    </r>
  </si>
  <si>
    <r>
      <t>180058_</t>
    </r>
    <r>
      <rPr>
        <sz val="11"/>
        <color indexed="8"/>
        <rFont val="宋体"/>
        <charset val="134"/>
      </rPr>
      <t>专业技术</t>
    </r>
  </si>
  <si>
    <r>
      <t>180061_</t>
    </r>
    <r>
      <rPr>
        <sz val="11"/>
        <color indexed="8"/>
        <rFont val="宋体"/>
        <charset val="134"/>
      </rPr>
      <t>专业技术</t>
    </r>
  </si>
  <si>
    <r>
      <t>180062_</t>
    </r>
    <r>
      <rPr>
        <sz val="11"/>
        <color indexed="8"/>
        <rFont val="宋体"/>
        <charset val="134"/>
      </rPr>
      <t>专业技术</t>
    </r>
  </si>
  <si>
    <r>
      <t>180065_</t>
    </r>
    <r>
      <rPr>
        <sz val="11"/>
        <color indexed="8"/>
        <rFont val="宋体"/>
        <charset val="134"/>
      </rPr>
      <t>专业技术</t>
    </r>
  </si>
  <si>
    <r>
      <t>180066_</t>
    </r>
    <r>
      <rPr>
        <sz val="11"/>
        <color indexed="8"/>
        <rFont val="宋体"/>
        <charset val="134"/>
      </rPr>
      <t>专业技术</t>
    </r>
  </si>
  <si>
    <r>
      <t>180069_</t>
    </r>
    <r>
      <rPr>
        <sz val="11"/>
        <color indexed="8"/>
        <rFont val="宋体"/>
        <charset val="134"/>
      </rPr>
      <t>专业技术</t>
    </r>
  </si>
  <si>
    <r>
      <t>180070_</t>
    </r>
    <r>
      <rPr>
        <sz val="11"/>
        <color indexed="8"/>
        <rFont val="宋体"/>
        <charset val="134"/>
      </rPr>
      <t>专业技术</t>
    </r>
  </si>
  <si>
    <r>
      <t>180071_</t>
    </r>
    <r>
      <rPr>
        <sz val="11"/>
        <color indexed="8"/>
        <rFont val="宋体"/>
        <charset val="134"/>
      </rPr>
      <t>专业技术</t>
    </r>
  </si>
  <si>
    <r>
      <t>180072_</t>
    </r>
    <r>
      <rPr>
        <sz val="11"/>
        <color indexed="8"/>
        <rFont val="宋体"/>
        <charset val="134"/>
      </rPr>
      <t>专业技术</t>
    </r>
  </si>
  <si>
    <r>
      <t>180074_</t>
    </r>
    <r>
      <rPr>
        <sz val="11"/>
        <color indexed="8"/>
        <rFont val="宋体"/>
        <charset val="134"/>
      </rPr>
      <t>专业技术</t>
    </r>
  </si>
  <si>
    <t>序号</t>
    <phoneticPr fontId="2" type="noConversion"/>
  </si>
  <si>
    <r>
      <t>2018</t>
    </r>
    <r>
      <rPr>
        <b/>
        <sz val="14"/>
        <rFont val="宋体"/>
        <charset val="134"/>
      </rPr>
      <t>年涡阳县县级公立医院公开招聘人员资格复审人员名单</t>
    </r>
    <phoneticPr fontId="2" type="noConversion"/>
  </si>
  <si>
    <t>公共基础知识成绩</t>
    <phoneticPr fontId="2" type="noConversion"/>
  </si>
  <si>
    <t>报考岗位</t>
  </si>
  <si>
    <t>性别</t>
  </si>
  <si>
    <t>身份证号码</t>
  </si>
  <si>
    <t>所学专业</t>
  </si>
  <si>
    <t>准考证号</t>
  </si>
  <si>
    <t>专业知识成绩</t>
  </si>
  <si>
    <t>笔试综合成绩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</si>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</sst>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name val="宋体"/>
      <charset val="134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3"/>
  <sheetViews>
    <sheetView tabSelected="1" topLeftCell="B1" workbookViewId="0">
      <pane ySplit="2" topLeftCell="A215" activePane="bottomLeft" state="frozen"/>
      <selection activeCell="W1" sqref="W1"/>
      <selection pane="bottomLeft" activeCell="B230" sqref="A230:XFD230"/>
    </sheetView>
  </sheetViews>
  <sheetFormatPr defaultColWidth="8.875" defaultRowHeight="18.75" customHeight="1"/>
  <cols>
    <col min="1" max="1" width="27.5" style="6" hidden="1" customWidth="1"/>
    <col min="2" max="2" width="12" style="6" customWidth="1"/>
    <col min="3" max="3" width="16.375" style="6" customWidth="1"/>
    <col min="4" max="4" width="9" style="10" hidden="1" customWidth="1"/>
    <col min="5" max="5" width="20.875" style="10" hidden="1" customWidth="1"/>
    <col min="6" max="6" width="9" style="11" customWidth="1"/>
    <col min="7" max="7" width="11.875" style="10" customWidth="1"/>
    <col min="8" max="8" width="15.125" style="10" customWidth="1"/>
    <col min="9" max="9" width="12.75" style="12" customWidth="1"/>
    <col min="10" max="10" width="13" style="10" customWidth="1"/>
    <col min="11" max="11" width="11.375" style="10" customWidth="1"/>
    <col min="12" max="13" width="9" style="6" hidden="1" customWidth="1"/>
    <col min="14" max="16384" width="8.875" style="7"/>
  </cols>
  <sheetData>
    <row r="1" spans="1:13" ht="37.5" customHeight="1">
      <c r="B1" s="15" t="s">
        <v>32</v>
      </c>
      <c r="C1" s="16"/>
      <c r="D1" s="16"/>
      <c r="E1" s="16"/>
      <c r="F1" s="16"/>
      <c r="G1" s="16"/>
      <c r="H1" s="16"/>
      <c r="I1" s="16"/>
      <c r="J1" s="16"/>
      <c r="K1" s="16"/>
    </row>
    <row r="2" spans="1:13" s="9" customFormat="1" ht="29.25" customHeight="1">
      <c r="A2" s="8" t="s">
        <v>0</v>
      </c>
      <c r="B2" s="5" t="s">
        <v>31</v>
      </c>
      <c r="C2" s="13" t="s">
        <v>34</v>
      </c>
      <c r="D2" s="14" t="s">
        <v>35</v>
      </c>
      <c r="E2" s="14" t="s">
        <v>36</v>
      </c>
      <c r="F2" s="14" t="s">
        <v>37</v>
      </c>
      <c r="G2" s="14" t="s">
        <v>38</v>
      </c>
      <c r="H2" s="14" t="s">
        <v>33</v>
      </c>
      <c r="I2" s="14" t="s">
        <v>39</v>
      </c>
      <c r="J2" s="14" t="s">
        <v>40</v>
      </c>
      <c r="K2" s="14" t="s">
        <v>41</v>
      </c>
      <c r="L2" s="8" t="s">
        <v>1</v>
      </c>
      <c r="M2" s="8" t="s">
        <v>2</v>
      </c>
    </row>
    <row r="3" spans="1:13" ht="18.75" customHeight="1">
      <c r="A3" s="6" t="str">
        <f>"10522018022609405581624"</f>
        <v>10522018022609405581624</v>
      </c>
      <c r="B3" s="4">
        <v>1</v>
      </c>
      <c r="C3" s="1" t="s">
        <v>3</v>
      </c>
      <c r="D3" s="2" t="str">
        <f>"男"</f>
        <v>男</v>
      </c>
      <c r="E3" s="2" t="str">
        <f>"341621198909105198"</f>
        <v>341621198909105198</v>
      </c>
      <c r="F3" s="3" t="str">
        <f t="shared" ref="F3:F34" si="0">"临床医学"</f>
        <v>临床医学</v>
      </c>
      <c r="G3" s="2" t="str">
        <f>"2018010226"</f>
        <v>2018010226</v>
      </c>
      <c r="H3" s="2">
        <v>55</v>
      </c>
      <c r="I3" s="2">
        <v>99</v>
      </c>
      <c r="J3" s="2">
        <f t="shared" ref="J3:J66" si="1">H3*0.3+I3*0.7</f>
        <v>85.8</v>
      </c>
      <c r="K3" s="2"/>
      <c r="L3" s="6">
        <v>2</v>
      </c>
      <c r="M3" s="6">
        <v>26</v>
      </c>
    </row>
    <row r="4" spans="1:13" ht="18.75" customHeight="1">
      <c r="A4" s="6" t="str">
        <f>"10522018022822182582760"</f>
        <v>10522018022822182582760</v>
      </c>
      <c r="B4" s="4">
        <v>2</v>
      </c>
      <c r="C4" s="1" t="s">
        <v>3</v>
      </c>
      <c r="D4" s="2" t="str">
        <f>"男"</f>
        <v>男</v>
      </c>
      <c r="E4" s="2" t="str">
        <f>"341621199010181314"</f>
        <v>341621199010181314</v>
      </c>
      <c r="F4" s="3" t="str">
        <f t="shared" si="0"/>
        <v>临床医学</v>
      </c>
      <c r="G4" s="2" t="str">
        <f>"2018010303"</f>
        <v>2018010303</v>
      </c>
      <c r="H4" s="2">
        <v>74</v>
      </c>
      <c r="I4" s="2">
        <v>88</v>
      </c>
      <c r="J4" s="2">
        <f t="shared" si="1"/>
        <v>83.8</v>
      </c>
      <c r="K4" s="2"/>
      <c r="L4" s="6">
        <v>3</v>
      </c>
      <c r="M4" s="6">
        <v>3</v>
      </c>
    </row>
    <row r="5" spans="1:13" ht="18.75" customHeight="1">
      <c r="A5" s="6" t="str">
        <f>"10522018022721430982429"</f>
        <v>10522018022721430982429</v>
      </c>
      <c r="B5" s="4">
        <v>3</v>
      </c>
      <c r="C5" s="1" t="s">
        <v>3</v>
      </c>
      <c r="D5" s="2" t="str">
        <f>"男"</f>
        <v>男</v>
      </c>
      <c r="E5" s="2" t="str">
        <f>"341223198804070970"</f>
        <v>341223198804070970</v>
      </c>
      <c r="F5" s="3" t="str">
        <f t="shared" si="0"/>
        <v>临床医学</v>
      </c>
      <c r="G5" s="2" t="str">
        <f>"2018010321"</f>
        <v>2018010321</v>
      </c>
      <c r="H5" s="2">
        <v>77</v>
      </c>
      <c r="I5" s="2">
        <v>84</v>
      </c>
      <c r="J5" s="2">
        <f t="shared" si="1"/>
        <v>81.899999999999991</v>
      </c>
      <c r="K5" s="2"/>
      <c r="L5" s="6">
        <v>3</v>
      </c>
      <c r="M5" s="6">
        <v>21</v>
      </c>
    </row>
    <row r="6" spans="1:13" ht="18.75" customHeight="1">
      <c r="A6" s="6" t="str">
        <f>"10522018022621011382078"</f>
        <v>10522018022621011382078</v>
      </c>
      <c r="B6" s="4">
        <v>4</v>
      </c>
      <c r="C6" s="1" t="s">
        <v>3</v>
      </c>
      <c r="D6" s="2" t="str">
        <f>"女"</f>
        <v>女</v>
      </c>
      <c r="E6" s="2" t="str">
        <f>"341223199405202520"</f>
        <v>341223199405202520</v>
      </c>
      <c r="F6" s="3" t="str">
        <f t="shared" si="0"/>
        <v>临床医学</v>
      </c>
      <c r="G6" s="2" t="str">
        <f>"2018010230"</f>
        <v>2018010230</v>
      </c>
      <c r="H6" s="2">
        <v>74.5</v>
      </c>
      <c r="I6" s="2">
        <v>85</v>
      </c>
      <c r="J6" s="2">
        <f t="shared" si="1"/>
        <v>81.849999999999994</v>
      </c>
      <c r="K6" s="2"/>
      <c r="L6" s="6">
        <v>2</v>
      </c>
      <c r="M6" s="6">
        <v>30</v>
      </c>
    </row>
    <row r="7" spans="1:13" ht="18.75" customHeight="1">
      <c r="A7" s="6" t="str">
        <f>"10522018022813450382600"</f>
        <v>10522018022813450382600</v>
      </c>
      <c r="B7" s="4">
        <v>5</v>
      </c>
      <c r="C7" s="1" t="s">
        <v>3</v>
      </c>
      <c r="D7" s="2" t="str">
        <f>"女"</f>
        <v>女</v>
      </c>
      <c r="E7" s="2" t="str">
        <f>"341227199506130728"</f>
        <v>341227199506130728</v>
      </c>
      <c r="F7" s="3" t="str">
        <f t="shared" si="0"/>
        <v>临床医学</v>
      </c>
      <c r="G7" s="2" t="str">
        <f>"2018010123"</f>
        <v>2018010123</v>
      </c>
      <c r="H7" s="2">
        <v>52</v>
      </c>
      <c r="I7" s="2">
        <v>93</v>
      </c>
      <c r="J7" s="2">
        <f t="shared" si="1"/>
        <v>80.699999999999989</v>
      </c>
      <c r="K7" s="2"/>
      <c r="L7" s="6">
        <v>1</v>
      </c>
      <c r="M7" s="6">
        <v>23</v>
      </c>
    </row>
    <row r="8" spans="1:13" ht="18.75" customHeight="1">
      <c r="A8" s="6" t="str">
        <f>"10522018022719063082353"</f>
        <v>10522018022719063082353</v>
      </c>
      <c r="B8" s="4">
        <v>6</v>
      </c>
      <c r="C8" s="1" t="s">
        <v>3</v>
      </c>
      <c r="D8" s="2" t="str">
        <f>"男"</f>
        <v>男</v>
      </c>
      <c r="E8" s="2" t="str">
        <f>"341223199507103339"</f>
        <v>341223199507103339</v>
      </c>
      <c r="F8" s="3" t="str">
        <f t="shared" si="0"/>
        <v>临床医学</v>
      </c>
      <c r="G8" s="2" t="str">
        <f>"2018010210"</f>
        <v>2018010210</v>
      </c>
      <c r="H8" s="2">
        <v>74.5</v>
      </c>
      <c r="I8" s="2">
        <v>83</v>
      </c>
      <c r="J8" s="2">
        <f t="shared" si="1"/>
        <v>80.449999999999989</v>
      </c>
      <c r="K8" s="2"/>
      <c r="L8" s="6">
        <v>2</v>
      </c>
      <c r="M8" s="6">
        <v>10</v>
      </c>
    </row>
    <row r="9" spans="1:13" ht="18.75" customHeight="1">
      <c r="A9" s="6" t="str">
        <f>"10522018022613595081865"</f>
        <v>10522018022613595081865</v>
      </c>
      <c r="B9" s="4">
        <v>7</v>
      </c>
      <c r="C9" s="1" t="s">
        <v>3</v>
      </c>
      <c r="D9" s="2" t="str">
        <f>"男"</f>
        <v>男</v>
      </c>
      <c r="E9" s="2" t="str">
        <f>"341223199509271918"</f>
        <v>341223199509271918</v>
      </c>
      <c r="F9" s="3" t="str">
        <f t="shared" si="0"/>
        <v>临床医学</v>
      </c>
      <c r="G9" s="2" t="str">
        <f>"2018010312"</f>
        <v>2018010312</v>
      </c>
      <c r="H9" s="2">
        <v>63</v>
      </c>
      <c r="I9" s="2">
        <v>87</v>
      </c>
      <c r="J9" s="2">
        <f t="shared" si="1"/>
        <v>79.8</v>
      </c>
      <c r="K9" s="2"/>
      <c r="L9" s="6">
        <v>3</v>
      </c>
      <c r="M9" s="6">
        <v>12</v>
      </c>
    </row>
    <row r="10" spans="1:13" ht="18.75" customHeight="1">
      <c r="A10" s="6" t="str">
        <f>"10522018022609104381584"</f>
        <v>10522018022609104381584</v>
      </c>
      <c r="B10" s="4">
        <v>8</v>
      </c>
      <c r="C10" s="1" t="s">
        <v>3</v>
      </c>
      <c r="D10" s="2" t="str">
        <f>"男"</f>
        <v>男</v>
      </c>
      <c r="E10" s="2" t="str">
        <f>"341621199209115111"</f>
        <v>341621199209115111</v>
      </c>
      <c r="F10" s="3" t="str">
        <f t="shared" si="0"/>
        <v>临床医学</v>
      </c>
      <c r="G10" s="2" t="str">
        <f>"2018010127"</f>
        <v>2018010127</v>
      </c>
      <c r="H10" s="2">
        <v>57.5</v>
      </c>
      <c r="I10" s="2">
        <v>88</v>
      </c>
      <c r="J10" s="2">
        <f t="shared" si="1"/>
        <v>78.849999999999994</v>
      </c>
      <c r="K10" s="2"/>
      <c r="L10" s="6">
        <v>1</v>
      </c>
      <c r="M10" s="6">
        <v>27</v>
      </c>
    </row>
    <row r="11" spans="1:13" ht="18.75" customHeight="1">
      <c r="A11" s="6" t="str">
        <f>"10522018022720080282387"</f>
        <v>10522018022720080282387</v>
      </c>
      <c r="B11" s="4">
        <v>9</v>
      </c>
      <c r="C11" s="1" t="s">
        <v>3</v>
      </c>
      <c r="D11" s="2" t="str">
        <f>"女"</f>
        <v>女</v>
      </c>
      <c r="E11" s="2" t="str">
        <f>"341621199611203726"</f>
        <v>341621199611203726</v>
      </c>
      <c r="F11" s="3" t="str">
        <f t="shared" si="0"/>
        <v>临床医学</v>
      </c>
      <c r="G11" s="2" t="str">
        <f>"2018010225"</f>
        <v>2018010225</v>
      </c>
      <c r="H11" s="2">
        <v>64.5</v>
      </c>
      <c r="I11" s="2">
        <v>85</v>
      </c>
      <c r="J11" s="2">
        <f t="shared" si="1"/>
        <v>78.849999999999994</v>
      </c>
      <c r="K11" s="2"/>
      <c r="L11" s="6">
        <v>2</v>
      </c>
      <c r="M11" s="6">
        <v>25</v>
      </c>
    </row>
    <row r="12" spans="1:13" ht="18.75" customHeight="1">
      <c r="A12" s="6" t="str">
        <f>"10522018030122153683044"</f>
        <v>10522018030122153683044</v>
      </c>
      <c r="B12" s="4">
        <v>10</v>
      </c>
      <c r="C12" s="1" t="s">
        <v>3</v>
      </c>
      <c r="D12" s="2" t="str">
        <f>"女"</f>
        <v>女</v>
      </c>
      <c r="E12" s="2" t="str">
        <f>"341223198810125368"</f>
        <v>341223198810125368</v>
      </c>
      <c r="F12" s="3" t="str">
        <f t="shared" si="0"/>
        <v>临床医学</v>
      </c>
      <c r="G12" s="2" t="str">
        <f>"2018010119"</f>
        <v>2018010119</v>
      </c>
      <c r="H12" s="2">
        <v>70.5</v>
      </c>
      <c r="I12" s="2">
        <v>80</v>
      </c>
      <c r="J12" s="2">
        <f t="shared" si="1"/>
        <v>77.150000000000006</v>
      </c>
      <c r="K12" s="2"/>
      <c r="L12" s="6">
        <v>1</v>
      </c>
      <c r="M12" s="6">
        <v>19</v>
      </c>
    </row>
    <row r="13" spans="1:13" ht="18.75" customHeight="1">
      <c r="A13" s="6" t="str">
        <f>"10522018022818335482686"</f>
        <v>10522018022818335482686</v>
      </c>
      <c r="B13" s="4">
        <v>11</v>
      </c>
      <c r="C13" s="1" t="s">
        <v>3</v>
      </c>
      <c r="D13" s="2" t="str">
        <f>"女"</f>
        <v>女</v>
      </c>
      <c r="E13" s="2" t="str">
        <f>"341281199007169028"</f>
        <v>341281199007169028</v>
      </c>
      <c r="F13" s="3" t="str">
        <f t="shared" si="0"/>
        <v>临床医学</v>
      </c>
      <c r="G13" s="2" t="str">
        <f>"2018010328"</f>
        <v>2018010328</v>
      </c>
      <c r="H13" s="2">
        <v>55</v>
      </c>
      <c r="I13" s="2">
        <v>86</v>
      </c>
      <c r="J13" s="2">
        <f t="shared" si="1"/>
        <v>76.699999999999989</v>
      </c>
      <c r="K13" s="2"/>
      <c r="L13" s="6">
        <v>3</v>
      </c>
      <c r="M13" s="6">
        <v>28</v>
      </c>
    </row>
    <row r="14" spans="1:13" ht="18.75" customHeight="1">
      <c r="A14" s="6" t="str">
        <f>"10522018022610350681688"</f>
        <v>10522018022610350681688</v>
      </c>
      <c r="B14" s="4">
        <v>12</v>
      </c>
      <c r="C14" s="1" t="s">
        <v>3</v>
      </c>
      <c r="D14" s="2" t="str">
        <f>"女"</f>
        <v>女</v>
      </c>
      <c r="E14" s="2" t="str">
        <f>"341223199410043341"</f>
        <v>341223199410043341</v>
      </c>
      <c r="F14" s="3" t="str">
        <f t="shared" si="0"/>
        <v>临床医学</v>
      </c>
      <c r="G14" s="2" t="str">
        <f>"2018010313"</f>
        <v>2018010313</v>
      </c>
      <c r="H14" s="2">
        <v>73.5</v>
      </c>
      <c r="I14" s="2">
        <v>78</v>
      </c>
      <c r="J14" s="2">
        <f t="shared" si="1"/>
        <v>76.649999999999991</v>
      </c>
      <c r="K14" s="2"/>
      <c r="L14" s="6">
        <v>3</v>
      </c>
      <c r="M14" s="6">
        <v>13</v>
      </c>
    </row>
    <row r="15" spans="1:13" ht="18.75" customHeight="1">
      <c r="A15" s="6" t="str">
        <f>"10522018022610333381685"</f>
        <v>10522018022610333381685</v>
      </c>
      <c r="B15" s="4">
        <v>13</v>
      </c>
      <c r="C15" s="1" t="s">
        <v>3</v>
      </c>
      <c r="D15" s="2" t="str">
        <f>"男"</f>
        <v>男</v>
      </c>
      <c r="E15" s="2" t="str">
        <f>"341227199303069015"</f>
        <v>341227199303069015</v>
      </c>
      <c r="F15" s="3" t="str">
        <f t="shared" si="0"/>
        <v>临床医学</v>
      </c>
      <c r="G15" s="2" t="str">
        <f>"2018010114"</f>
        <v>2018010114</v>
      </c>
      <c r="H15" s="2">
        <v>73</v>
      </c>
      <c r="I15" s="2">
        <v>78</v>
      </c>
      <c r="J15" s="2">
        <f t="shared" si="1"/>
        <v>76.5</v>
      </c>
      <c r="K15" s="2"/>
      <c r="L15" s="6">
        <v>1</v>
      </c>
      <c r="M15" s="6">
        <v>14</v>
      </c>
    </row>
    <row r="16" spans="1:13" ht="18.75" customHeight="1">
      <c r="A16" s="6" t="str">
        <f>"10522018030115592182941"</f>
        <v>10522018030115592182941</v>
      </c>
      <c r="B16" s="4">
        <v>14</v>
      </c>
      <c r="C16" s="1" t="s">
        <v>3</v>
      </c>
      <c r="D16" s="2" t="str">
        <f>"男"</f>
        <v>男</v>
      </c>
      <c r="E16" s="2" t="str">
        <f>"341223199502010010"</f>
        <v>341223199502010010</v>
      </c>
      <c r="F16" s="3" t="str">
        <f t="shared" si="0"/>
        <v>临床医学</v>
      </c>
      <c r="G16" s="2" t="str">
        <f>"2018010102"</f>
        <v>2018010102</v>
      </c>
      <c r="H16" s="2">
        <v>58.5</v>
      </c>
      <c r="I16" s="2">
        <v>83</v>
      </c>
      <c r="J16" s="2">
        <f t="shared" si="1"/>
        <v>75.649999999999991</v>
      </c>
      <c r="K16" s="2"/>
      <c r="L16" s="6">
        <v>1</v>
      </c>
      <c r="M16" s="6">
        <v>2</v>
      </c>
    </row>
    <row r="17" spans="1:13" ht="18.75" customHeight="1">
      <c r="A17" s="6" t="str">
        <f>"10522018022614365881888"</f>
        <v>10522018022614365881888</v>
      </c>
      <c r="B17" s="4">
        <v>15</v>
      </c>
      <c r="C17" s="1" t="s">
        <v>3</v>
      </c>
      <c r="D17" s="2" t="str">
        <f>"女"</f>
        <v>女</v>
      </c>
      <c r="E17" s="2" t="str">
        <f>"341621199509060087"</f>
        <v>341621199509060087</v>
      </c>
      <c r="F17" s="3" t="str">
        <f t="shared" si="0"/>
        <v>临床医学</v>
      </c>
      <c r="G17" s="2" t="str">
        <f>"2018010307"</f>
        <v>2018010307</v>
      </c>
      <c r="H17" s="2">
        <v>57.5</v>
      </c>
      <c r="I17" s="2">
        <v>83</v>
      </c>
      <c r="J17" s="2">
        <f t="shared" si="1"/>
        <v>75.349999999999994</v>
      </c>
      <c r="K17" s="2"/>
      <c r="L17" s="6">
        <v>3</v>
      </c>
      <c r="M17" s="6">
        <v>7</v>
      </c>
    </row>
    <row r="18" spans="1:13" ht="18.75" customHeight="1">
      <c r="A18" s="6" t="str">
        <f>"10522018022819401482716"</f>
        <v>10522018022819401482716</v>
      </c>
      <c r="B18" s="4">
        <v>16</v>
      </c>
      <c r="C18" s="1" t="s">
        <v>3</v>
      </c>
      <c r="D18" s="2" t="str">
        <f>"女"</f>
        <v>女</v>
      </c>
      <c r="E18" s="2" t="str">
        <f>"34128119910117064X"</f>
        <v>34128119910117064X</v>
      </c>
      <c r="F18" s="3" t="str">
        <f t="shared" si="0"/>
        <v>临床医学</v>
      </c>
      <c r="G18" s="2" t="str">
        <f>"2018010118"</f>
        <v>2018010118</v>
      </c>
      <c r="H18" s="2">
        <v>59.5</v>
      </c>
      <c r="I18" s="2">
        <v>82</v>
      </c>
      <c r="J18" s="2">
        <f t="shared" si="1"/>
        <v>75.25</v>
      </c>
      <c r="K18" s="2"/>
      <c r="L18" s="6">
        <v>1</v>
      </c>
      <c r="M18" s="6">
        <v>18</v>
      </c>
    </row>
    <row r="19" spans="1:13" ht="18.75" customHeight="1">
      <c r="A19" s="6" t="str">
        <f>"10522018030211072883108"</f>
        <v>10522018030211072883108</v>
      </c>
      <c r="B19" s="4">
        <v>17</v>
      </c>
      <c r="C19" s="1" t="s">
        <v>3</v>
      </c>
      <c r="D19" s="2" t="str">
        <f>"男"</f>
        <v>男</v>
      </c>
      <c r="E19" s="2" t="str">
        <f>"341223199112131714"</f>
        <v>341223199112131714</v>
      </c>
      <c r="F19" s="3" t="str">
        <f t="shared" si="0"/>
        <v>临床医学</v>
      </c>
      <c r="G19" s="2" t="str">
        <f>"2018010327"</f>
        <v>2018010327</v>
      </c>
      <c r="H19" s="2">
        <v>57</v>
      </c>
      <c r="I19" s="2">
        <v>83</v>
      </c>
      <c r="J19" s="2">
        <f t="shared" si="1"/>
        <v>75.199999999999989</v>
      </c>
      <c r="K19" s="2"/>
      <c r="L19" s="6">
        <v>3</v>
      </c>
      <c r="M19" s="6">
        <v>27</v>
      </c>
    </row>
    <row r="20" spans="1:13" ht="18.75" customHeight="1">
      <c r="A20" s="6" t="str">
        <f>"10522018022809464282492"</f>
        <v>10522018022809464282492</v>
      </c>
      <c r="B20" s="4">
        <v>18</v>
      </c>
      <c r="C20" s="1" t="s">
        <v>3</v>
      </c>
      <c r="D20" s="2" t="str">
        <f>"男"</f>
        <v>男</v>
      </c>
      <c r="E20" s="2" t="str">
        <f>"341621199310165156"</f>
        <v>341621199310165156</v>
      </c>
      <c r="F20" s="3" t="str">
        <f t="shared" si="0"/>
        <v>临床医学</v>
      </c>
      <c r="G20" s="2" t="str">
        <f>"2018010228"</f>
        <v>2018010228</v>
      </c>
      <c r="H20" s="2">
        <v>59.5</v>
      </c>
      <c r="I20" s="2">
        <v>81</v>
      </c>
      <c r="J20" s="2">
        <f t="shared" si="1"/>
        <v>74.55</v>
      </c>
      <c r="K20" s="2"/>
      <c r="L20" s="6">
        <v>2</v>
      </c>
      <c r="M20" s="6">
        <v>28</v>
      </c>
    </row>
    <row r="21" spans="1:13" ht="18.75" customHeight="1">
      <c r="A21" s="6" t="str">
        <f>"10522018022809315582486"</f>
        <v>10522018022809315582486</v>
      </c>
      <c r="B21" s="4">
        <v>19</v>
      </c>
      <c r="C21" s="1" t="s">
        <v>3</v>
      </c>
      <c r="D21" s="2" t="str">
        <f>"女"</f>
        <v>女</v>
      </c>
      <c r="E21" s="2" t="str">
        <f>"34128119930910422X"</f>
        <v>34128119930910422X</v>
      </c>
      <c r="F21" s="3" t="str">
        <f t="shared" si="0"/>
        <v>临床医学</v>
      </c>
      <c r="G21" s="2" t="str">
        <f>"2018010110"</f>
        <v>2018010110</v>
      </c>
      <c r="H21" s="2">
        <v>60.5</v>
      </c>
      <c r="I21" s="2">
        <v>80</v>
      </c>
      <c r="J21" s="2">
        <f t="shared" si="1"/>
        <v>74.150000000000006</v>
      </c>
      <c r="K21" s="2"/>
      <c r="L21" s="6">
        <v>1</v>
      </c>
      <c r="M21" s="6">
        <v>10</v>
      </c>
    </row>
    <row r="22" spans="1:13" ht="18.75" customHeight="1">
      <c r="A22" s="6" t="str">
        <f>"10522018022621361282088"</f>
        <v>10522018022621361282088</v>
      </c>
      <c r="B22" s="4">
        <v>20</v>
      </c>
      <c r="C22" s="1" t="s">
        <v>3</v>
      </c>
      <c r="D22" s="2" t="str">
        <f>"女"</f>
        <v>女</v>
      </c>
      <c r="E22" s="2" t="str">
        <f>"341281199503270184"</f>
        <v>341281199503270184</v>
      </c>
      <c r="F22" s="3" t="str">
        <f t="shared" si="0"/>
        <v>临床医学</v>
      </c>
      <c r="G22" s="2" t="str">
        <f>"2018010107"</f>
        <v>2018010107</v>
      </c>
      <c r="H22" s="2">
        <v>55</v>
      </c>
      <c r="I22" s="2">
        <v>82</v>
      </c>
      <c r="J22" s="2">
        <f t="shared" si="1"/>
        <v>73.900000000000006</v>
      </c>
      <c r="K22" s="2"/>
      <c r="L22" s="6">
        <v>1</v>
      </c>
      <c r="M22" s="6">
        <v>7</v>
      </c>
    </row>
    <row r="23" spans="1:13" ht="18.75" customHeight="1">
      <c r="A23" s="6" t="str">
        <f>"10522018022614194381877"</f>
        <v>10522018022614194381877</v>
      </c>
      <c r="B23" s="4">
        <v>21</v>
      </c>
      <c r="C23" s="1" t="s">
        <v>3</v>
      </c>
      <c r="D23" s="2" t="str">
        <f>"男"</f>
        <v>男</v>
      </c>
      <c r="E23" s="2" t="str">
        <f>"341223199601300216"</f>
        <v>341223199601300216</v>
      </c>
      <c r="F23" s="3" t="str">
        <f t="shared" si="0"/>
        <v>临床医学</v>
      </c>
      <c r="G23" s="2" t="str">
        <f>"2018010105"</f>
        <v>2018010105</v>
      </c>
      <c r="H23" s="2">
        <v>66</v>
      </c>
      <c r="I23" s="2">
        <v>77</v>
      </c>
      <c r="J23" s="2">
        <f t="shared" si="1"/>
        <v>73.7</v>
      </c>
      <c r="K23" s="2"/>
      <c r="L23" s="6">
        <v>1</v>
      </c>
      <c r="M23" s="6">
        <v>5</v>
      </c>
    </row>
    <row r="24" spans="1:13" ht="18.75" customHeight="1">
      <c r="A24" s="6" t="str">
        <f>"10522018030213560583149"</f>
        <v>10522018030213560583149</v>
      </c>
      <c r="B24" s="4">
        <v>22</v>
      </c>
      <c r="C24" s="1" t="s">
        <v>3</v>
      </c>
      <c r="D24" s="2" t="str">
        <f>"女"</f>
        <v>女</v>
      </c>
      <c r="E24" s="2" t="str">
        <f>"341223199501130029"</f>
        <v>341223199501130029</v>
      </c>
      <c r="F24" s="3" t="str">
        <f t="shared" si="0"/>
        <v>临床医学</v>
      </c>
      <c r="G24" s="2" t="str">
        <f>"2018010311"</f>
        <v>2018010311</v>
      </c>
      <c r="H24" s="2">
        <v>52</v>
      </c>
      <c r="I24" s="2">
        <v>83</v>
      </c>
      <c r="J24" s="2">
        <f t="shared" si="1"/>
        <v>73.699999999999989</v>
      </c>
      <c r="K24" s="2"/>
      <c r="L24" s="6">
        <v>3</v>
      </c>
      <c r="M24" s="6">
        <v>11</v>
      </c>
    </row>
    <row r="25" spans="1:13" ht="18.75" customHeight="1">
      <c r="A25" s="6" t="str">
        <f>"10522018022609181781597"</f>
        <v>10522018022609181781597</v>
      </c>
      <c r="B25" s="4">
        <v>23</v>
      </c>
      <c r="C25" s="1" t="s">
        <v>3</v>
      </c>
      <c r="D25" s="2" t="str">
        <f>"女"</f>
        <v>女</v>
      </c>
      <c r="E25" s="2" t="str">
        <f>"341224198807066164"</f>
        <v>341224198807066164</v>
      </c>
      <c r="F25" s="3" t="str">
        <f t="shared" si="0"/>
        <v>临床医学</v>
      </c>
      <c r="G25" s="2" t="str">
        <f>"2018010121"</f>
        <v>2018010121</v>
      </c>
      <c r="H25" s="2">
        <v>51.5</v>
      </c>
      <c r="I25" s="2">
        <v>83</v>
      </c>
      <c r="J25" s="2">
        <f t="shared" si="1"/>
        <v>73.55</v>
      </c>
      <c r="K25" s="2"/>
      <c r="L25" s="6">
        <v>1</v>
      </c>
      <c r="M25" s="6">
        <v>21</v>
      </c>
    </row>
    <row r="26" spans="1:13" ht="18.75" customHeight="1">
      <c r="A26" s="6" t="str">
        <f>"10522018022615454381927"</f>
        <v>10522018022615454381927</v>
      </c>
      <c r="B26" s="4">
        <v>24</v>
      </c>
      <c r="C26" s="1" t="s">
        <v>3</v>
      </c>
      <c r="D26" s="2" t="str">
        <f>"男"</f>
        <v>男</v>
      </c>
      <c r="E26" s="2" t="str">
        <f>"341621199412270010"</f>
        <v>341621199412270010</v>
      </c>
      <c r="F26" s="3" t="str">
        <f t="shared" si="0"/>
        <v>临床医学</v>
      </c>
      <c r="G26" s="2" t="str">
        <f>"2018013606"</f>
        <v>2018013606</v>
      </c>
      <c r="H26" s="2">
        <v>58</v>
      </c>
      <c r="I26" s="2">
        <v>80</v>
      </c>
      <c r="J26" s="2">
        <f t="shared" si="1"/>
        <v>73.400000000000006</v>
      </c>
      <c r="K26" s="2"/>
      <c r="L26" s="6">
        <v>36</v>
      </c>
      <c r="M26" s="6">
        <v>6</v>
      </c>
    </row>
    <row r="27" spans="1:13" ht="18.75" customHeight="1">
      <c r="A27" s="6" t="str">
        <f>"10522018022613232981840"</f>
        <v>10522018022613232981840</v>
      </c>
      <c r="B27" s="4">
        <v>25</v>
      </c>
      <c r="C27" s="1" t="s">
        <v>3</v>
      </c>
      <c r="D27" s="2" t="str">
        <f>"男"</f>
        <v>男</v>
      </c>
      <c r="E27" s="2" t="str">
        <f>"341227199101137016"</f>
        <v>341227199101137016</v>
      </c>
      <c r="F27" s="3" t="str">
        <f t="shared" si="0"/>
        <v>临床医学</v>
      </c>
      <c r="G27" s="2" t="str">
        <f>"2018010214"</f>
        <v>2018010214</v>
      </c>
      <c r="H27" s="2">
        <v>62.5</v>
      </c>
      <c r="I27" s="2">
        <v>78</v>
      </c>
      <c r="J27" s="2">
        <f t="shared" si="1"/>
        <v>73.349999999999994</v>
      </c>
      <c r="K27" s="2"/>
      <c r="L27" s="6">
        <v>2</v>
      </c>
      <c r="M27" s="6">
        <v>14</v>
      </c>
    </row>
    <row r="28" spans="1:13" ht="18.75" customHeight="1">
      <c r="A28" s="6" t="str">
        <f>"10522018022618065182001"</f>
        <v>10522018022618065182001</v>
      </c>
      <c r="B28" s="4">
        <v>26</v>
      </c>
      <c r="C28" s="1" t="s">
        <v>3</v>
      </c>
      <c r="D28" s="2" t="str">
        <f>"男"</f>
        <v>男</v>
      </c>
      <c r="E28" s="2" t="str">
        <f>"341281199010302117"</f>
        <v>341281199010302117</v>
      </c>
      <c r="F28" s="3" t="str">
        <f t="shared" si="0"/>
        <v>临床医学</v>
      </c>
      <c r="G28" s="2" t="str">
        <f>"2018010324"</f>
        <v>2018010324</v>
      </c>
      <c r="H28" s="2">
        <v>57</v>
      </c>
      <c r="I28" s="2">
        <v>80</v>
      </c>
      <c r="J28" s="2">
        <f t="shared" si="1"/>
        <v>73.099999999999994</v>
      </c>
      <c r="K28" s="2"/>
      <c r="L28" s="6">
        <v>3</v>
      </c>
      <c r="M28" s="6">
        <v>24</v>
      </c>
    </row>
    <row r="29" spans="1:13" ht="18.75" customHeight="1">
      <c r="A29" s="6" t="str">
        <f>"10522018022610292081678"</f>
        <v>10522018022610292081678</v>
      </c>
      <c r="B29" s="4">
        <v>27</v>
      </c>
      <c r="C29" s="1" t="s">
        <v>3</v>
      </c>
      <c r="D29" s="2" t="str">
        <f>"女"</f>
        <v>女</v>
      </c>
      <c r="E29" s="2" t="str">
        <f>"341621199508121925"</f>
        <v>341621199508121925</v>
      </c>
      <c r="F29" s="3" t="str">
        <f t="shared" si="0"/>
        <v>临床医学</v>
      </c>
      <c r="G29" s="2" t="str">
        <f>"2018010304"</f>
        <v>2018010304</v>
      </c>
      <c r="H29" s="2">
        <v>57.5</v>
      </c>
      <c r="I29" s="2">
        <v>79</v>
      </c>
      <c r="J29" s="2">
        <f t="shared" si="1"/>
        <v>72.55</v>
      </c>
      <c r="K29" s="2"/>
      <c r="L29" s="6">
        <v>3</v>
      </c>
      <c r="M29" s="6">
        <v>4</v>
      </c>
    </row>
    <row r="30" spans="1:13" ht="18.75" customHeight="1">
      <c r="A30" s="6" t="str">
        <f>"10522018022615173881913"</f>
        <v>10522018022615173881913</v>
      </c>
      <c r="B30" s="4">
        <v>28</v>
      </c>
      <c r="C30" s="1" t="s">
        <v>3</v>
      </c>
      <c r="D30" s="2" t="str">
        <f>"女"</f>
        <v>女</v>
      </c>
      <c r="E30" s="2" t="str">
        <f>"341223199402100529"</f>
        <v>341223199402100529</v>
      </c>
      <c r="F30" s="3" t="str">
        <f t="shared" si="0"/>
        <v>临床医学</v>
      </c>
      <c r="G30" s="2" t="str">
        <f>"2018010216"</f>
        <v>2018010216</v>
      </c>
      <c r="H30" s="2">
        <v>50</v>
      </c>
      <c r="I30" s="2">
        <v>82</v>
      </c>
      <c r="J30" s="2">
        <f t="shared" si="1"/>
        <v>72.400000000000006</v>
      </c>
      <c r="K30" s="2"/>
      <c r="L30" s="6">
        <v>2</v>
      </c>
      <c r="M30" s="6">
        <v>16</v>
      </c>
    </row>
    <row r="31" spans="1:13" ht="18.75" customHeight="1">
      <c r="A31" s="6" t="str">
        <f>"10522018022613570781862"</f>
        <v>10522018022613570781862</v>
      </c>
      <c r="B31" s="4">
        <v>29</v>
      </c>
      <c r="C31" s="1" t="s">
        <v>3</v>
      </c>
      <c r="D31" s="2" t="str">
        <f>"男"</f>
        <v>男</v>
      </c>
      <c r="E31" s="2" t="str">
        <f>"341281199410160015"</f>
        <v>341281199410160015</v>
      </c>
      <c r="F31" s="3" t="str">
        <f t="shared" si="0"/>
        <v>临床医学</v>
      </c>
      <c r="G31" s="2" t="str">
        <f>"2018010309"</f>
        <v>2018010309</v>
      </c>
      <c r="H31" s="2">
        <v>70</v>
      </c>
      <c r="I31" s="2">
        <v>73</v>
      </c>
      <c r="J31" s="2">
        <f t="shared" si="1"/>
        <v>72.099999999999994</v>
      </c>
      <c r="K31" s="2"/>
      <c r="L31" s="6">
        <v>3</v>
      </c>
      <c r="M31" s="6">
        <v>9</v>
      </c>
    </row>
    <row r="32" spans="1:13" ht="18.75" customHeight="1">
      <c r="A32" s="6" t="str">
        <f>"10522018022609072081578"</f>
        <v>10522018022609072081578</v>
      </c>
      <c r="B32" s="4">
        <v>30</v>
      </c>
      <c r="C32" s="1" t="s">
        <v>3</v>
      </c>
      <c r="D32" s="2" t="str">
        <f>"男"</f>
        <v>男</v>
      </c>
      <c r="E32" s="2" t="str">
        <f>"341223199308020717"</f>
        <v>341223199308020717</v>
      </c>
      <c r="F32" s="3" t="str">
        <f t="shared" si="0"/>
        <v>临床医学</v>
      </c>
      <c r="G32" s="2" t="str">
        <f>"2018010322"</f>
        <v>2018010322</v>
      </c>
      <c r="H32" s="2">
        <v>67.5</v>
      </c>
      <c r="I32" s="2">
        <v>74</v>
      </c>
      <c r="J32" s="2">
        <f t="shared" si="1"/>
        <v>72.05</v>
      </c>
      <c r="K32" s="2"/>
      <c r="L32" s="6">
        <v>3</v>
      </c>
      <c r="M32" s="6">
        <v>22</v>
      </c>
    </row>
    <row r="33" spans="1:13" ht="18.75" customHeight="1">
      <c r="A33" s="6" t="str">
        <f>"10522018030118523982997"</f>
        <v>10522018030118523982997</v>
      </c>
      <c r="B33" s="4">
        <v>31</v>
      </c>
      <c r="C33" s="1" t="s">
        <v>3</v>
      </c>
      <c r="D33" s="2" t="str">
        <f>"女"</f>
        <v>女</v>
      </c>
      <c r="E33" s="2" t="str">
        <f>"341281199402154221"</f>
        <v>341281199402154221</v>
      </c>
      <c r="F33" s="3" t="str">
        <f t="shared" si="0"/>
        <v>临床医学</v>
      </c>
      <c r="G33" s="2" t="str">
        <f>"2018010217"</f>
        <v>2018010217</v>
      </c>
      <c r="H33" s="2">
        <v>50.5</v>
      </c>
      <c r="I33" s="2">
        <v>81</v>
      </c>
      <c r="J33" s="2">
        <f t="shared" si="1"/>
        <v>71.849999999999994</v>
      </c>
      <c r="K33" s="2"/>
      <c r="L33" s="6">
        <v>2</v>
      </c>
      <c r="M33" s="6">
        <v>17</v>
      </c>
    </row>
    <row r="34" spans="1:13" ht="18.75" customHeight="1">
      <c r="A34" s="6" t="str">
        <f>"10522018030210292883104"</f>
        <v>10522018030210292883104</v>
      </c>
      <c r="B34" s="4">
        <v>32</v>
      </c>
      <c r="C34" s="1" t="s">
        <v>3</v>
      </c>
      <c r="D34" s="2" t="str">
        <f>"女"</f>
        <v>女</v>
      </c>
      <c r="E34" s="2" t="str">
        <f>"341623199404228325"</f>
        <v>341623199404228325</v>
      </c>
      <c r="F34" s="3" t="str">
        <f t="shared" si="0"/>
        <v>临床医学</v>
      </c>
      <c r="G34" s="2" t="str">
        <f>"2018010201"</f>
        <v>2018010201</v>
      </c>
      <c r="H34" s="2">
        <v>52</v>
      </c>
      <c r="I34" s="2">
        <v>80</v>
      </c>
      <c r="J34" s="2">
        <f t="shared" si="1"/>
        <v>71.599999999999994</v>
      </c>
      <c r="K34" s="2"/>
      <c r="L34" s="6">
        <v>2</v>
      </c>
      <c r="M34" s="6">
        <v>1</v>
      </c>
    </row>
    <row r="35" spans="1:13" ht="18.75" customHeight="1">
      <c r="A35" s="6" t="str">
        <f>"10522018022616501181965"</f>
        <v>10522018022616501181965</v>
      </c>
      <c r="B35" s="4">
        <v>33</v>
      </c>
      <c r="C35" s="1" t="s">
        <v>3</v>
      </c>
      <c r="D35" s="2" t="str">
        <f>"男"</f>
        <v>男</v>
      </c>
      <c r="E35" s="2" t="str">
        <f>"341227199202141073"</f>
        <v>341227199202141073</v>
      </c>
      <c r="F35" s="3" t="str">
        <f t="shared" ref="F35:F67" si="2">"临床医学"</f>
        <v>临床医学</v>
      </c>
      <c r="G35" s="2" t="str">
        <f>"2018010113"</f>
        <v>2018010113</v>
      </c>
      <c r="H35" s="2">
        <v>60.5</v>
      </c>
      <c r="I35" s="2">
        <v>76</v>
      </c>
      <c r="J35" s="2">
        <f t="shared" si="1"/>
        <v>71.349999999999994</v>
      </c>
      <c r="K35" s="2"/>
      <c r="L35" s="6">
        <v>1</v>
      </c>
      <c r="M35" s="6">
        <v>13</v>
      </c>
    </row>
    <row r="36" spans="1:13" ht="18.75" customHeight="1">
      <c r="A36" s="6" t="str">
        <f>"10522018022717542482320"</f>
        <v>10522018022717542482320</v>
      </c>
      <c r="B36" s="4">
        <v>34</v>
      </c>
      <c r="C36" s="1" t="s">
        <v>3</v>
      </c>
      <c r="D36" s="2" t="str">
        <f>"女"</f>
        <v>女</v>
      </c>
      <c r="E36" s="2" t="str">
        <f>"341227199105056125"</f>
        <v>341227199105056125</v>
      </c>
      <c r="F36" s="3" t="str">
        <f t="shared" si="2"/>
        <v>临床医学</v>
      </c>
      <c r="G36" s="2" t="str">
        <f>"2018010319"</f>
        <v>2018010319</v>
      </c>
      <c r="H36" s="2">
        <v>55.5</v>
      </c>
      <c r="I36" s="2">
        <v>78</v>
      </c>
      <c r="J36" s="2">
        <f t="shared" si="1"/>
        <v>71.25</v>
      </c>
      <c r="K36" s="2"/>
      <c r="L36" s="6">
        <v>3</v>
      </c>
      <c r="M36" s="6">
        <v>19</v>
      </c>
    </row>
    <row r="37" spans="1:13" ht="18.75" customHeight="1">
      <c r="A37" s="6" t="str">
        <f>"10522018022716533682309"</f>
        <v>10522018022716533682309</v>
      </c>
      <c r="B37" s="4">
        <v>35</v>
      </c>
      <c r="C37" s="1" t="s">
        <v>3</v>
      </c>
      <c r="D37" s="2" t="str">
        <f>"女"</f>
        <v>女</v>
      </c>
      <c r="E37" s="2" t="str">
        <f>"341223199609053926"</f>
        <v>341223199609053926</v>
      </c>
      <c r="F37" s="3" t="str">
        <f t="shared" si="2"/>
        <v>临床医学</v>
      </c>
      <c r="G37" s="2" t="str">
        <f>"2018010213"</f>
        <v>2018010213</v>
      </c>
      <c r="H37" s="2">
        <v>65.5</v>
      </c>
      <c r="I37" s="2">
        <v>73</v>
      </c>
      <c r="J37" s="2">
        <f t="shared" si="1"/>
        <v>70.75</v>
      </c>
      <c r="K37" s="2"/>
      <c r="L37" s="6">
        <v>2</v>
      </c>
      <c r="M37" s="6">
        <v>13</v>
      </c>
    </row>
    <row r="38" spans="1:13" ht="18.75" customHeight="1">
      <c r="A38" s="6" t="str">
        <f>"10522018030117435082973"</f>
        <v>10522018030117435082973</v>
      </c>
      <c r="B38" s="4">
        <v>36</v>
      </c>
      <c r="C38" s="1" t="s">
        <v>3</v>
      </c>
      <c r="D38" s="2" t="str">
        <f>"男"</f>
        <v>男</v>
      </c>
      <c r="E38" s="2" t="str">
        <f>"341281199212016135"</f>
        <v>341281199212016135</v>
      </c>
      <c r="F38" s="3" t="str">
        <f t="shared" si="2"/>
        <v>临床医学</v>
      </c>
      <c r="G38" s="2" t="str">
        <f>"2018010220"</f>
        <v>2018010220</v>
      </c>
      <c r="H38" s="2">
        <v>48</v>
      </c>
      <c r="I38" s="2">
        <v>80</v>
      </c>
      <c r="J38" s="2">
        <f t="shared" si="1"/>
        <v>70.400000000000006</v>
      </c>
      <c r="K38" s="2"/>
      <c r="L38" s="6">
        <v>2</v>
      </c>
      <c r="M38" s="6">
        <v>20</v>
      </c>
    </row>
    <row r="39" spans="1:13" ht="18.75" customHeight="1">
      <c r="A39" s="6" t="str">
        <f>"10522018022615375381922"</f>
        <v>10522018022615375381922</v>
      </c>
      <c r="B39" s="4">
        <v>37</v>
      </c>
      <c r="C39" s="1" t="s">
        <v>3</v>
      </c>
      <c r="D39" s="2" t="str">
        <f>"男"</f>
        <v>男</v>
      </c>
      <c r="E39" s="2" t="str">
        <f>"341224199310160918"</f>
        <v>341224199310160918</v>
      </c>
      <c r="F39" s="3" t="str">
        <f t="shared" si="2"/>
        <v>临床医学</v>
      </c>
      <c r="G39" s="2" t="str">
        <f>"2018010325"</f>
        <v>2018010325</v>
      </c>
      <c r="H39" s="2">
        <v>52.5</v>
      </c>
      <c r="I39" s="2">
        <v>78</v>
      </c>
      <c r="J39" s="2">
        <f t="shared" si="1"/>
        <v>70.349999999999994</v>
      </c>
      <c r="K39" s="2"/>
      <c r="L39" s="6">
        <v>3</v>
      </c>
      <c r="M39" s="6">
        <v>25</v>
      </c>
    </row>
    <row r="40" spans="1:13" ht="18.75" customHeight="1">
      <c r="A40" s="6" t="str">
        <f>"10522018022812074982556"</f>
        <v>10522018022812074982556</v>
      </c>
      <c r="B40" s="4">
        <v>38</v>
      </c>
      <c r="C40" s="1" t="s">
        <v>3</v>
      </c>
      <c r="D40" s="2" t="str">
        <f>"男"</f>
        <v>男</v>
      </c>
      <c r="E40" s="2" t="str">
        <f>"342222199004152053"</f>
        <v>342222199004152053</v>
      </c>
      <c r="F40" s="3" t="str">
        <f t="shared" si="2"/>
        <v>临床医学</v>
      </c>
      <c r="G40" s="2" t="str">
        <f>"2018010310"</f>
        <v>2018010310</v>
      </c>
      <c r="H40" s="2">
        <v>44.5</v>
      </c>
      <c r="I40" s="2">
        <v>80</v>
      </c>
      <c r="J40" s="2">
        <f t="shared" si="1"/>
        <v>69.349999999999994</v>
      </c>
      <c r="K40" s="2"/>
      <c r="L40" s="6">
        <v>3</v>
      </c>
      <c r="M40" s="6">
        <v>10</v>
      </c>
    </row>
    <row r="41" spans="1:13" ht="18.75" customHeight="1">
      <c r="A41" s="6" t="str">
        <f>"10522018022612123881779"</f>
        <v>10522018022612123881779</v>
      </c>
      <c r="B41" s="4">
        <v>39</v>
      </c>
      <c r="C41" s="1" t="s">
        <v>3</v>
      </c>
      <c r="D41" s="2" t="str">
        <f>"男"</f>
        <v>男</v>
      </c>
      <c r="E41" s="2" t="str">
        <f>"341621199309105316"</f>
        <v>341621199309105316</v>
      </c>
      <c r="F41" s="3" t="str">
        <f t="shared" si="2"/>
        <v>临床医学</v>
      </c>
      <c r="G41" s="2" t="str">
        <f>"2018010316"</f>
        <v>2018010316</v>
      </c>
      <c r="H41" s="2">
        <v>62.5</v>
      </c>
      <c r="I41" s="2">
        <v>72</v>
      </c>
      <c r="J41" s="2">
        <f t="shared" si="1"/>
        <v>69.150000000000006</v>
      </c>
      <c r="K41" s="2"/>
      <c r="L41" s="6">
        <v>3</v>
      </c>
      <c r="M41" s="6">
        <v>16</v>
      </c>
    </row>
    <row r="42" spans="1:13" ht="18.75" customHeight="1">
      <c r="A42" s="6" t="str">
        <f>"10522018022613181981833"</f>
        <v>10522018022613181981833</v>
      </c>
      <c r="B42" s="4">
        <v>40</v>
      </c>
      <c r="C42" s="1" t="s">
        <v>3</v>
      </c>
      <c r="D42" s="2" t="str">
        <f>"男"</f>
        <v>男</v>
      </c>
      <c r="E42" s="2" t="str">
        <f>"342423199308125094"</f>
        <v>342423199308125094</v>
      </c>
      <c r="F42" s="3" t="str">
        <f t="shared" si="2"/>
        <v>临床医学</v>
      </c>
      <c r="G42" s="2" t="str">
        <f>"2018013604"</f>
        <v>2018013604</v>
      </c>
      <c r="H42" s="2">
        <v>52.5</v>
      </c>
      <c r="I42" s="2">
        <v>76</v>
      </c>
      <c r="J42" s="2">
        <f t="shared" si="1"/>
        <v>68.949999999999989</v>
      </c>
      <c r="K42" s="2"/>
      <c r="L42" s="6">
        <v>36</v>
      </c>
      <c r="M42" s="6">
        <v>4</v>
      </c>
    </row>
    <row r="43" spans="1:13" ht="18.75" customHeight="1">
      <c r="A43" s="6" t="str">
        <f>"10522018022718570382346"</f>
        <v>10522018022718570382346</v>
      </c>
      <c r="B43" s="4">
        <v>41</v>
      </c>
      <c r="C43" s="1" t="s">
        <v>3</v>
      </c>
      <c r="D43" s="2" t="str">
        <f>"女"</f>
        <v>女</v>
      </c>
      <c r="E43" s="2" t="str">
        <f>"341223199505122325"</f>
        <v>341223199505122325</v>
      </c>
      <c r="F43" s="3" t="str">
        <f t="shared" si="2"/>
        <v>临床医学</v>
      </c>
      <c r="G43" s="2" t="str">
        <f>"2018010130"</f>
        <v>2018010130</v>
      </c>
      <c r="H43" s="2">
        <v>47.5</v>
      </c>
      <c r="I43" s="2">
        <v>78</v>
      </c>
      <c r="J43" s="2">
        <f t="shared" si="1"/>
        <v>68.849999999999994</v>
      </c>
      <c r="K43" s="2"/>
      <c r="L43" s="6">
        <v>1</v>
      </c>
      <c r="M43" s="6">
        <v>30</v>
      </c>
    </row>
    <row r="44" spans="1:13" ht="18.75" customHeight="1">
      <c r="A44" s="6" t="str">
        <f>"10522018022612512881813"</f>
        <v>10522018022612512881813</v>
      </c>
      <c r="B44" s="4">
        <v>42</v>
      </c>
      <c r="C44" s="1" t="s">
        <v>3</v>
      </c>
      <c r="D44" s="2" t="str">
        <f>"男"</f>
        <v>男</v>
      </c>
      <c r="E44" s="2" t="str">
        <f>"341621199211262516"</f>
        <v>341621199211262516</v>
      </c>
      <c r="F44" s="3" t="str">
        <f t="shared" si="2"/>
        <v>临床医学</v>
      </c>
      <c r="G44" s="2" t="str">
        <f>"2018010101"</f>
        <v>2018010101</v>
      </c>
      <c r="H44" s="2">
        <v>52.5</v>
      </c>
      <c r="I44" s="2">
        <v>75</v>
      </c>
      <c r="J44" s="2">
        <f t="shared" si="1"/>
        <v>68.25</v>
      </c>
      <c r="K44" s="2"/>
      <c r="L44" s="6">
        <v>1</v>
      </c>
      <c r="M44" s="6">
        <v>1</v>
      </c>
    </row>
    <row r="45" spans="1:13" ht="18.75" customHeight="1">
      <c r="A45" s="6" t="str">
        <f>"10522018022617493481995"</f>
        <v>10522018022617493481995</v>
      </c>
      <c r="B45" s="4">
        <v>43</v>
      </c>
      <c r="C45" s="1" t="s">
        <v>3</v>
      </c>
      <c r="D45" s="2" t="str">
        <f>"男"</f>
        <v>男</v>
      </c>
      <c r="E45" s="2" t="str">
        <f>"341223199303221712"</f>
        <v>341223199303221712</v>
      </c>
      <c r="F45" s="3" t="str">
        <f t="shared" si="2"/>
        <v>临床医学</v>
      </c>
      <c r="G45" s="2" t="str">
        <f>"2018010318"</f>
        <v>2018010318</v>
      </c>
      <c r="H45" s="2">
        <v>50</v>
      </c>
      <c r="I45" s="2">
        <v>76</v>
      </c>
      <c r="J45" s="2">
        <f t="shared" si="1"/>
        <v>68.199999999999989</v>
      </c>
      <c r="K45" s="2"/>
      <c r="L45" s="6">
        <v>3</v>
      </c>
      <c r="M45" s="6">
        <v>18</v>
      </c>
    </row>
    <row r="46" spans="1:13" ht="18.75" customHeight="1">
      <c r="A46" s="6" t="str">
        <f>"10522018022621024482079"</f>
        <v>10522018022621024482079</v>
      </c>
      <c r="B46" s="4">
        <v>44</v>
      </c>
      <c r="C46" s="1" t="s">
        <v>3</v>
      </c>
      <c r="D46" s="2" t="str">
        <f>"女"</f>
        <v>女</v>
      </c>
      <c r="E46" s="2" t="str">
        <f>"341621199306301522"</f>
        <v>341621199306301522</v>
      </c>
      <c r="F46" s="3" t="str">
        <f t="shared" si="2"/>
        <v>临床医学</v>
      </c>
      <c r="G46" s="2" t="str">
        <f>"2018010206"</f>
        <v>2018010206</v>
      </c>
      <c r="H46" s="2">
        <v>53</v>
      </c>
      <c r="I46" s="2">
        <v>74</v>
      </c>
      <c r="J46" s="2">
        <f t="shared" si="1"/>
        <v>67.699999999999989</v>
      </c>
      <c r="K46" s="2"/>
      <c r="L46" s="6">
        <v>2</v>
      </c>
      <c r="M46" s="6">
        <v>6</v>
      </c>
    </row>
    <row r="47" spans="1:13" ht="18.75" customHeight="1">
      <c r="A47" s="6" t="str">
        <f>"10522018022611063981735"</f>
        <v>10522018022611063981735</v>
      </c>
      <c r="B47" s="4">
        <v>45</v>
      </c>
      <c r="C47" s="1" t="s">
        <v>3</v>
      </c>
      <c r="D47" s="2" t="str">
        <f>"男"</f>
        <v>男</v>
      </c>
      <c r="E47" s="2" t="str">
        <f>"341621199301074316"</f>
        <v>341621199301074316</v>
      </c>
      <c r="F47" s="3" t="str">
        <f t="shared" si="2"/>
        <v>临床医学</v>
      </c>
      <c r="G47" s="2" t="str">
        <f>"2018010317"</f>
        <v>2018010317</v>
      </c>
      <c r="H47" s="2">
        <v>55</v>
      </c>
      <c r="I47" s="2">
        <v>73</v>
      </c>
      <c r="J47" s="2">
        <f t="shared" si="1"/>
        <v>67.599999999999994</v>
      </c>
      <c r="K47" s="2"/>
      <c r="L47" s="6">
        <v>3</v>
      </c>
      <c r="M47" s="6">
        <v>17</v>
      </c>
    </row>
    <row r="48" spans="1:13" ht="18.75" customHeight="1">
      <c r="A48" s="6" t="str">
        <f>"10522018030110415182826"</f>
        <v>10522018030110415182826</v>
      </c>
      <c r="B48" s="4">
        <v>46</v>
      </c>
      <c r="C48" s="1" t="s">
        <v>3</v>
      </c>
      <c r="D48" s="2" t="str">
        <f>"女"</f>
        <v>女</v>
      </c>
      <c r="E48" s="2" t="str">
        <f>"341223199407111120"</f>
        <v>341223199407111120</v>
      </c>
      <c r="F48" s="3" t="str">
        <f t="shared" si="2"/>
        <v>临床医学</v>
      </c>
      <c r="G48" s="2" t="str">
        <f>"2018013603"</f>
        <v>2018013603</v>
      </c>
      <c r="H48" s="2">
        <v>45</v>
      </c>
      <c r="I48" s="2">
        <v>77</v>
      </c>
      <c r="J48" s="2">
        <f t="shared" si="1"/>
        <v>67.400000000000006</v>
      </c>
      <c r="K48" s="2"/>
      <c r="L48" s="6">
        <v>36</v>
      </c>
      <c r="M48" s="6">
        <v>3</v>
      </c>
    </row>
    <row r="49" spans="1:13" ht="18.75" customHeight="1">
      <c r="A49" s="6" t="str">
        <f>"10522018022819523582720"</f>
        <v>10522018022819523582720</v>
      </c>
      <c r="B49" s="4">
        <v>47</v>
      </c>
      <c r="C49" s="1" t="s">
        <v>3</v>
      </c>
      <c r="D49" s="2" t="str">
        <f>"男"</f>
        <v>男</v>
      </c>
      <c r="E49" s="2" t="str">
        <f>"341223199312092115"</f>
        <v>341223199312092115</v>
      </c>
      <c r="F49" s="3" t="str">
        <f t="shared" si="2"/>
        <v>临床医学</v>
      </c>
      <c r="G49" s="2" t="str">
        <f>"2018010212"</f>
        <v>2018010212</v>
      </c>
      <c r="H49" s="2">
        <v>49.5</v>
      </c>
      <c r="I49" s="2">
        <v>75</v>
      </c>
      <c r="J49" s="2">
        <f t="shared" si="1"/>
        <v>67.349999999999994</v>
      </c>
      <c r="K49" s="2"/>
      <c r="L49" s="6">
        <v>2</v>
      </c>
      <c r="M49" s="6">
        <v>12</v>
      </c>
    </row>
    <row r="50" spans="1:13" ht="18.75" customHeight="1">
      <c r="A50" s="6" t="str">
        <f>"10522018030111343082849"</f>
        <v>10522018030111343082849</v>
      </c>
      <c r="B50" s="4">
        <v>48</v>
      </c>
      <c r="C50" s="1" t="s">
        <v>3</v>
      </c>
      <c r="D50" s="2" t="str">
        <f>"男"</f>
        <v>男</v>
      </c>
      <c r="E50" s="2" t="str">
        <f>"341223199312071154"</f>
        <v>341223199312071154</v>
      </c>
      <c r="F50" s="3" t="str">
        <f t="shared" si="2"/>
        <v>临床医学</v>
      </c>
      <c r="G50" s="2" t="str">
        <f>"2018010215"</f>
        <v>2018010215</v>
      </c>
      <c r="H50" s="2">
        <v>63.5</v>
      </c>
      <c r="I50" s="2">
        <v>68</v>
      </c>
      <c r="J50" s="2">
        <f t="shared" si="1"/>
        <v>66.649999999999991</v>
      </c>
      <c r="K50" s="2"/>
      <c r="L50" s="6">
        <v>2</v>
      </c>
      <c r="M50" s="6">
        <v>15</v>
      </c>
    </row>
    <row r="51" spans="1:13" ht="18.75" customHeight="1">
      <c r="A51" s="6" t="str">
        <f>"10522018030115232782929"</f>
        <v>10522018030115232782929</v>
      </c>
      <c r="B51" s="4">
        <v>49</v>
      </c>
      <c r="C51" s="1" t="s">
        <v>3</v>
      </c>
      <c r="D51" s="2" t="str">
        <f>"女"</f>
        <v>女</v>
      </c>
      <c r="E51" s="2" t="str">
        <f>"341223199302164189"</f>
        <v>341223199302164189</v>
      </c>
      <c r="F51" s="3" t="str">
        <f t="shared" si="2"/>
        <v>临床医学</v>
      </c>
      <c r="G51" s="2" t="str">
        <f>"2018010208"</f>
        <v>2018010208</v>
      </c>
      <c r="H51" s="2">
        <v>58</v>
      </c>
      <c r="I51" s="2">
        <v>70</v>
      </c>
      <c r="J51" s="2">
        <f t="shared" si="1"/>
        <v>66.400000000000006</v>
      </c>
      <c r="K51" s="2"/>
      <c r="L51" s="6">
        <v>2</v>
      </c>
      <c r="M51" s="6">
        <v>8</v>
      </c>
    </row>
    <row r="52" spans="1:13" ht="18.75" customHeight="1">
      <c r="A52" s="6" t="str">
        <f>"10522018022708024482124"</f>
        <v>10522018022708024482124</v>
      </c>
      <c r="B52" s="4">
        <v>50</v>
      </c>
      <c r="C52" s="1" t="s">
        <v>3</v>
      </c>
      <c r="D52" s="2" t="str">
        <f>"女"</f>
        <v>女</v>
      </c>
      <c r="E52" s="2" t="str">
        <f>"341621199305100227"</f>
        <v>341621199305100227</v>
      </c>
      <c r="F52" s="3" t="str">
        <f t="shared" si="2"/>
        <v>临床医学</v>
      </c>
      <c r="G52" s="2" t="str">
        <f>"2018010104"</f>
        <v>2018010104</v>
      </c>
      <c r="H52" s="2">
        <v>44</v>
      </c>
      <c r="I52" s="2">
        <v>75</v>
      </c>
      <c r="J52" s="2">
        <f t="shared" si="1"/>
        <v>65.7</v>
      </c>
      <c r="K52" s="2"/>
      <c r="L52" s="6">
        <v>1</v>
      </c>
      <c r="M52" s="6">
        <v>4</v>
      </c>
    </row>
    <row r="53" spans="1:13" ht="18.75" customHeight="1">
      <c r="A53" s="6" t="str">
        <f>"10522018022615480481929"</f>
        <v>10522018022615480481929</v>
      </c>
      <c r="B53" s="4">
        <v>51</v>
      </c>
      <c r="C53" s="1" t="s">
        <v>3</v>
      </c>
      <c r="D53" s="2" t="str">
        <f>"男"</f>
        <v>男</v>
      </c>
      <c r="E53" s="2" t="str">
        <f>"341223199609060210"</f>
        <v>341223199609060210</v>
      </c>
      <c r="F53" s="3" t="str">
        <f t="shared" si="2"/>
        <v>临床医学</v>
      </c>
      <c r="G53" s="2" t="str">
        <f>"2018010117"</f>
        <v>2018010117</v>
      </c>
      <c r="H53" s="2">
        <v>53.5</v>
      </c>
      <c r="I53" s="2">
        <v>70</v>
      </c>
      <c r="J53" s="2">
        <f t="shared" si="1"/>
        <v>65.05</v>
      </c>
      <c r="K53" s="2"/>
      <c r="L53" s="6">
        <v>1</v>
      </c>
      <c r="M53" s="6">
        <v>17</v>
      </c>
    </row>
    <row r="54" spans="1:13" ht="18.75" customHeight="1">
      <c r="A54" s="6" t="str">
        <f>"10522018022818431482691"</f>
        <v>10522018022818431482691</v>
      </c>
      <c r="B54" s="4">
        <v>52</v>
      </c>
      <c r="C54" s="1" t="s">
        <v>3</v>
      </c>
      <c r="D54" s="2" t="str">
        <f>"男"</f>
        <v>男</v>
      </c>
      <c r="E54" s="2" t="str">
        <f>"34162119890101331X"</f>
        <v>34162119890101331X</v>
      </c>
      <c r="F54" s="3" t="str">
        <f t="shared" si="2"/>
        <v>临床医学</v>
      </c>
      <c r="G54" s="2" t="str">
        <f>"2018010207"</f>
        <v>2018010207</v>
      </c>
      <c r="H54" s="2">
        <v>53</v>
      </c>
      <c r="I54" s="2">
        <v>70</v>
      </c>
      <c r="J54" s="2">
        <f t="shared" si="1"/>
        <v>64.900000000000006</v>
      </c>
      <c r="K54" s="2"/>
      <c r="L54" s="6">
        <v>2</v>
      </c>
      <c r="M54" s="6">
        <v>7</v>
      </c>
    </row>
    <row r="55" spans="1:13" ht="18.75" customHeight="1">
      <c r="A55" s="6" t="str">
        <f>"10522018022712591582226"</f>
        <v>10522018022712591582226</v>
      </c>
      <c r="B55" s="4">
        <v>53</v>
      </c>
      <c r="C55" s="1" t="s">
        <v>3</v>
      </c>
      <c r="D55" s="2" t="str">
        <f>"男"</f>
        <v>男</v>
      </c>
      <c r="E55" s="2" t="str">
        <f>"341281199405039595"</f>
        <v>341281199405039595</v>
      </c>
      <c r="F55" s="3" t="str">
        <f t="shared" si="2"/>
        <v>临床医学</v>
      </c>
      <c r="G55" s="2" t="str">
        <f>"2018013602"</f>
        <v>2018013602</v>
      </c>
      <c r="H55" s="2">
        <v>52</v>
      </c>
      <c r="I55" s="2">
        <v>70</v>
      </c>
      <c r="J55" s="2">
        <f t="shared" si="1"/>
        <v>64.599999999999994</v>
      </c>
      <c r="K55" s="2"/>
      <c r="L55" s="6">
        <v>36</v>
      </c>
      <c r="M55" s="6">
        <v>2</v>
      </c>
    </row>
    <row r="56" spans="1:13" ht="18.75" customHeight="1">
      <c r="A56" s="6" t="str">
        <f>"10522018022610280081675"</f>
        <v>10522018022610280081675</v>
      </c>
      <c r="B56" s="4">
        <v>54</v>
      </c>
      <c r="C56" s="1" t="s">
        <v>3</v>
      </c>
      <c r="D56" s="2" t="str">
        <f>"女"</f>
        <v>女</v>
      </c>
      <c r="E56" s="2" t="str">
        <f>"34162119940321296X"</f>
        <v>34162119940321296X</v>
      </c>
      <c r="F56" s="3" t="str">
        <f t="shared" si="2"/>
        <v>临床医学</v>
      </c>
      <c r="G56" s="2" t="str">
        <f>"2018010308"</f>
        <v>2018010308</v>
      </c>
      <c r="H56" s="2">
        <v>60</v>
      </c>
      <c r="I56" s="2">
        <v>66</v>
      </c>
      <c r="J56" s="2">
        <f t="shared" si="1"/>
        <v>64.199999999999989</v>
      </c>
      <c r="K56" s="2"/>
      <c r="L56" s="6">
        <v>3</v>
      </c>
      <c r="M56" s="6">
        <v>8</v>
      </c>
    </row>
    <row r="57" spans="1:13" ht="18.75" customHeight="1">
      <c r="A57" s="6" t="str">
        <f>"10522018030215314183186"</f>
        <v>10522018030215314183186</v>
      </c>
      <c r="B57" s="4">
        <v>55</v>
      </c>
      <c r="C57" s="1" t="s">
        <v>3</v>
      </c>
      <c r="D57" s="2" t="str">
        <f>"女"</f>
        <v>女</v>
      </c>
      <c r="E57" s="2" t="str">
        <f>"34122119920308544X"</f>
        <v>34122119920308544X</v>
      </c>
      <c r="F57" s="3" t="str">
        <f t="shared" si="2"/>
        <v>临床医学</v>
      </c>
      <c r="G57" s="2" t="str">
        <f>"2018010129"</f>
        <v>2018010129</v>
      </c>
      <c r="H57" s="2">
        <v>44.5</v>
      </c>
      <c r="I57" s="2">
        <v>72</v>
      </c>
      <c r="J57" s="2">
        <f t="shared" si="1"/>
        <v>63.75</v>
      </c>
      <c r="K57" s="2"/>
      <c r="L57" s="6">
        <v>1</v>
      </c>
      <c r="M57" s="6">
        <v>29</v>
      </c>
    </row>
    <row r="58" spans="1:13" ht="18.75" customHeight="1">
      <c r="A58" s="6" t="str">
        <f>"10522018030214482583168"</f>
        <v>10522018030214482583168</v>
      </c>
      <c r="B58" s="4">
        <v>56</v>
      </c>
      <c r="C58" s="1" t="s">
        <v>3</v>
      </c>
      <c r="D58" s="2" t="str">
        <f>"男"</f>
        <v>男</v>
      </c>
      <c r="E58" s="2" t="str">
        <f>"341621199610154133"</f>
        <v>341621199610154133</v>
      </c>
      <c r="F58" s="3" t="str">
        <f t="shared" si="2"/>
        <v>临床医学</v>
      </c>
      <c r="G58" s="2" t="str">
        <f>"2018010222"</f>
        <v>2018010222</v>
      </c>
      <c r="H58" s="2">
        <v>53</v>
      </c>
      <c r="I58" s="2">
        <v>67</v>
      </c>
      <c r="J58" s="2">
        <f t="shared" si="1"/>
        <v>62.8</v>
      </c>
      <c r="K58" s="2"/>
      <c r="L58" s="6">
        <v>2</v>
      </c>
      <c r="M58" s="6">
        <v>22</v>
      </c>
    </row>
    <row r="59" spans="1:13" ht="18.75" customHeight="1">
      <c r="A59" s="6" t="str">
        <f>"10522018022721385082428"</f>
        <v>10522018022721385082428</v>
      </c>
      <c r="B59" s="4">
        <v>57</v>
      </c>
      <c r="C59" s="1" t="s">
        <v>3</v>
      </c>
      <c r="D59" s="2" t="str">
        <f>"女"</f>
        <v>女</v>
      </c>
      <c r="E59" s="2" t="str">
        <f>"341621199510270428"</f>
        <v>341621199510270428</v>
      </c>
      <c r="F59" s="3" t="str">
        <f t="shared" si="2"/>
        <v>临床医学</v>
      </c>
      <c r="G59" s="2" t="str">
        <f>"2018010315"</f>
        <v>2018010315</v>
      </c>
      <c r="H59" s="2">
        <v>60</v>
      </c>
      <c r="I59" s="2">
        <v>63</v>
      </c>
      <c r="J59" s="2">
        <f t="shared" si="1"/>
        <v>62.099999999999994</v>
      </c>
      <c r="K59" s="2"/>
      <c r="L59" s="6">
        <v>3</v>
      </c>
      <c r="M59" s="6">
        <v>15</v>
      </c>
    </row>
    <row r="60" spans="1:13" ht="18.75" customHeight="1">
      <c r="A60" s="6" t="str">
        <f>"10522018022815311382635"</f>
        <v>10522018022815311382635</v>
      </c>
      <c r="B60" s="4">
        <v>58</v>
      </c>
      <c r="C60" s="1" t="s">
        <v>3</v>
      </c>
      <c r="D60" s="2" t="str">
        <f>"女"</f>
        <v>女</v>
      </c>
      <c r="E60" s="2" t="str">
        <f>"341621199208252923"</f>
        <v>341621199208252923</v>
      </c>
      <c r="F60" s="3" t="str">
        <f t="shared" si="2"/>
        <v>临床医学</v>
      </c>
      <c r="G60" s="2" t="str">
        <f>"2018010323"</f>
        <v>2018010323</v>
      </c>
      <c r="H60" s="2">
        <v>47.5</v>
      </c>
      <c r="I60" s="2">
        <v>68</v>
      </c>
      <c r="J60" s="2">
        <f t="shared" si="1"/>
        <v>61.849999999999994</v>
      </c>
      <c r="K60" s="2"/>
      <c r="L60" s="6">
        <v>3</v>
      </c>
      <c r="M60" s="6">
        <v>23</v>
      </c>
    </row>
    <row r="61" spans="1:13" ht="18.75" customHeight="1">
      <c r="A61" s="6" t="str">
        <f>"10522018030115021582924"</f>
        <v>10522018030115021582924</v>
      </c>
      <c r="B61" s="4">
        <v>59</v>
      </c>
      <c r="C61" s="1" t="s">
        <v>3</v>
      </c>
      <c r="D61" s="2" t="str">
        <f>"女"</f>
        <v>女</v>
      </c>
      <c r="E61" s="2" t="str">
        <f>"34128119940524082X"</f>
        <v>34128119940524082X</v>
      </c>
      <c r="F61" s="3" t="str">
        <f t="shared" si="2"/>
        <v>临床医学</v>
      </c>
      <c r="G61" s="2" t="str">
        <f>"2018010223"</f>
        <v>2018010223</v>
      </c>
      <c r="H61" s="2">
        <v>42.5</v>
      </c>
      <c r="I61" s="2">
        <v>70</v>
      </c>
      <c r="J61" s="2">
        <f t="shared" si="1"/>
        <v>61.75</v>
      </c>
      <c r="K61" s="2"/>
      <c r="L61" s="6">
        <v>2</v>
      </c>
      <c r="M61" s="6">
        <v>23</v>
      </c>
    </row>
    <row r="62" spans="1:13" ht="18.75" customHeight="1">
      <c r="A62" s="6" t="str">
        <f>"10522018022821321182750"</f>
        <v>10522018022821321182750</v>
      </c>
      <c r="B62" s="4">
        <v>60</v>
      </c>
      <c r="C62" s="1" t="s">
        <v>3</v>
      </c>
      <c r="D62" s="2" t="str">
        <f>"女"</f>
        <v>女</v>
      </c>
      <c r="E62" s="2" t="str">
        <f>"34162319941015676X"</f>
        <v>34162319941015676X</v>
      </c>
      <c r="F62" s="3" t="str">
        <f t="shared" si="2"/>
        <v>临床医学</v>
      </c>
      <c r="G62" s="2" t="str">
        <f>"2018010221"</f>
        <v>2018010221</v>
      </c>
      <c r="H62" s="2">
        <v>36.5</v>
      </c>
      <c r="I62" s="2">
        <v>72</v>
      </c>
      <c r="J62" s="2">
        <f t="shared" si="1"/>
        <v>61.349999999999994</v>
      </c>
      <c r="K62" s="2"/>
      <c r="L62" s="6">
        <v>2</v>
      </c>
      <c r="M62" s="6">
        <v>21</v>
      </c>
    </row>
    <row r="63" spans="1:13" ht="18.75" customHeight="1">
      <c r="A63" s="6" t="str">
        <f>"10522018022821593782756"</f>
        <v>10522018022821593782756</v>
      </c>
      <c r="B63" s="4">
        <v>61</v>
      </c>
      <c r="C63" s="1" t="s">
        <v>3</v>
      </c>
      <c r="D63" s="2" t="str">
        <f>"女"</f>
        <v>女</v>
      </c>
      <c r="E63" s="2" t="str">
        <f>"341281199506103322"</f>
        <v>341281199506103322</v>
      </c>
      <c r="F63" s="3" t="str">
        <f t="shared" si="2"/>
        <v>临床医学</v>
      </c>
      <c r="G63" s="2" t="str">
        <f>"2018010125"</f>
        <v>2018010125</v>
      </c>
      <c r="H63" s="2">
        <v>47.5</v>
      </c>
      <c r="I63" s="2">
        <v>67</v>
      </c>
      <c r="J63" s="2">
        <f t="shared" si="1"/>
        <v>61.15</v>
      </c>
      <c r="K63" s="2"/>
      <c r="L63" s="6">
        <v>1</v>
      </c>
      <c r="M63" s="6">
        <v>25</v>
      </c>
    </row>
    <row r="64" spans="1:13" ht="18.75" customHeight="1">
      <c r="A64" s="6" t="str">
        <f>"10522018022714253582262"</f>
        <v>10522018022714253582262</v>
      </c>
      <c r="B64" s="4">
        <v>62</v>
      </c>
      <c r="C64" s="1" t="s">
        <v>3</v>
      </c>
      <c r="D64" s="2" t="str">
        <f>"男"</f>
        <v>男</v>
      </c>
      <c r="E64" s="2" t="str">
        <f>"341223199502034135"</f>
        <v>341223199502034135</v>
      </c>
      <c r="F64" s="3" t="str">
        <f t="shared" si="2"/>
        <v>临床医学</v>
      </c>
      <c r="G64" s="2" t="str">
        <f>"2018010126"</f>
        <v>2018010126</v>
      </c>
      <c r="H64" s="2">
        <v>45.5</v>
      </c>
      <c r="I64" s="2">
        <v>67</v>
      </c>
      <c r="J64" s="2">
        <f t="shared" si="1"/>
        <v>60.55</v>
      </c>
      <c r="K64" s="2"/>
      <c r="L64" s="6">
        <v>1</v>
      </c>
      <c r="M64" s="6">
        <v>26</v>
      </c>
    </row>
    <row r="65" spans="1:13" ht="18.75" customHeight="1">
      <c r="A65" s="6" t="str">
        <f>"10522018022614354081886"</f>
        <v>10522018022614354081886</v>
      </c>
      <c r="B65" s="4">
        <v>63</v>
      </c>
      <c r="C65" s="1" t="s">
        <v>4</v>
      </c>
      <c r="D65" s="2" t="str">
        <f>"男"</f>
        <v>男</v>
      </c>
      <c r="E65" s="2" t="str">
        <f>"341281199506018419"</f>
        <v>341281199506018419</v>
      </c>
      <c r="F65" s="3" t="str">
        <f t="shared" si="2"/>
        <v>临床医学</v>
      </c>
      <c r="G65" s="2" t="str">
        <f>"2018013607"</f>
        <v>2018013607</v>
      </c>
      <c r="H65" s="2">
        <v>72.5</v>
      </c>
      <c r="I65" s="2">
        <v>75</v>
      </c>
      <c r="J65" s="2">
        <f t="shared" si="1"/>
        <v>74.25</v>
      </c>
      <c r="K65" s="2"/>
      <c r="L65" s="6">
        <v>36</v>
      </c>
      <c r="M65" s="6">
        <v>7</v>
      </c>
    </row>
    <row r="66" spans="1:13" ht="18.75" customHeight="1">
      <c r="A66" s="6" t="str">
        <f>"10522018022610363081689"</f>
        <v>10522018022610363081689</v>
      </c>
      <c r="B66" s="4">
        <v>64</v>
      </c>
      <c r="C66" s="1" t="s">
        <v>4</v>
      </c>
      <c r="D66" s="2" t="str">
        <f>"男"</f>
        <v>男</v>
      </c>
      <c r="E66" s="2" t="str">
        <f>"341223199002274319"</f>
        <v>341223199002274319</v>
      </c>
      <c r="F66" s="3" t="str">
        <f t="shared" si="2"/>
        <v>临床医学</v>
      </c>
      <c r="G66" s="2" t="str">
        <f>"2018013611"</f>
        <v>2018013611</v>
      </c>
      <c r="H66" s="2">
        <v>73</v>
      </c>
      <c r="I66" s="2">
        <v>73</v>
      </c>
      <c r="J66" s="2">
        <f t="shared" si="1"/>
        <v>73</v>
      </c>
      <c r="K66" s="2"/>
      <c r="L66" s="6">
        <v>36</v>
      </c>
      <c r="M66" s="6">
        <v>11</v>
      </c>
    </row>
    <row r="67" spans="1:13" ht="18.75" customHeight="1">
      <c r="A67" s="6" t="str">
        <f>"10522018022718124682326"</f>
        <v>10522018022718124682326</v>
      </c>
      <c r="B67" s="4">
        <v>65</v>
      </c>
      <c r="C67" s="1" t="s">
        <v>4</v>
      </c>
      <c r="D67" s="2" t="str">
        <f>"男"</f>
        <v>男</v>
      </c>
      <c r="E67" s="2" t="str">
        <f>"340321199310245618"</f>
        <v>340321199310245618</v>
      </c>
      <c r="F67" s="3" t="str">
        <f t="shared" si="2"/>
        <v>临床医学</v>
      </c>
      <c r="G67" s="2" t="str">
        <f>"2018013609"</f>
        <v>2018013609</v>
      </c>
      <c r="H67" s="2">
        <v>36.5</v>
      </c>
      <c r="I67" s="2">
        <v>76</v>
      </c>
      <c r="J67" s="2">
        <f t="shared" ref="J67:J130" si="3">H67*0.3+I67*0.7</f>
        <v>64.149999999999991</v>
      </c>
      <c r="K67" s="2"/>
      <c r="L67" s="6">
        <v>36</v>
      </c>
      <c r="M67" s="6">
        <v>9</v>
      </c>
    </row>
    <row r="68" spans="1:13" ht="18.75" customHeight="1">
      <c r="A68" s="6" t="str">
        <f>"10522018022718452382334"</f>
        <v>10522018022718452382334</v>
      </c>
      <c r="B68" s="4">
        <v>66</v>
      </c>
      <c r="C68" s="1" t="s">
        <v>5</v>
      </c>
      <c r="D68" s="2" t="str">
        <f>"女"</f>
        <v>女</v>
      </c>
      <c r="E68" s="2" t="str">
        <f>"341622199407213325"</f>
        <v>341622199407213325</v>
      </c>
      <c r="F68" s="3" t="str">
        <f>"麻醉学"</f>
        <v>麻醉学</v>
      </c>
      <c r="G68" s="2" t="str">
        <f>"2018013624"</f>
        <v>2018013624</v>
      </c>
      <c r="H68" s="2">
        <v>55</v>
      </c>
      <c r="I68" s="2">
        <v>79</v>
      </c>
      <c r="J68" s="2">
        <f t="shared" si="3"/>
        <v>71.8</v>
      </c>
      <c r="K68" s="2"/>
      <c r="L68" s="6">
        <v>36</v>
      </c>
      <c r="M68" s="6">
        <v>24</v>
      </c>
    </row>
    <row r="69" spans="1:13" ht="18.75" customHeight="1">
      <c r="A69" s="6" t="str">
        <f>"10522018030108591382799"</f>
        <v>10522018030108591382799</v>
      </c>
      <c r="B69" s="4">
        <v>67</v>
      </c>
      <c r="C69" s="1" t="s">
        <v>5</v>
      </c>
      <c r="D69" s="2" t="str">
        <f>"男"</f>
        <v>男</v>
      </c>
      <c r="E69" s="2" t="str">
        <f>"341223199204081718"</f>
        <v>341223199204081718</v>
      </c>
      <c r="F69" s="3" t="str">
        <f>"麻醉学"</f>
        <v>麻醉学</v>
      </c>
      <c r="G69" s="2" t="str">
        <f>"2018013622"</f>
        <v>2018013622</v>
      </c>
      <c r="H69" s="2">
        <v>62</v>
      </c>
      <c r="I69" s="2">
        <v>74</v>
      </c>
      <c r="J69" s="2">
        <f t="shared" si="3"/>
        <v>70.399999999999991</v>
      </c>
      <c r="K69" s="2"/>
      <c r="L69" s="6">
        <v>36</v>
      </c>
      <c r="M69" s="6">
        <v>22</v>
      </c>
    </row>
    <row r="70" spans="1:13" ht="18.75" customHeight="1">
      <c r="A70" s="6" t="str">
        <f>"10522018022817162282662"</f>
        <v>10522018022817162282662</v>
      </c>
      <c r="B70" s="4">
        <v>68</v>
      </c>
      <c r="C70" s="1" t="s">
        <v>5</v>
      </c>
      <c r="D70" s="2" t="str">
        <f>"男"</f>
        <v>男</v>
      </c>
      <c r="E70" s="2" t="str">
        <f>"341621199311123513"</f>
        <v>341621199311123513</v>
      </c>
      <c r="F70" s="3" t="str">
        <f>"麻醉"</f>
        <v>麻醉</v>
      </c>
      <c r="G70" s="2" t="str">
        <f>"2018013620"</f>
        <v>2018013620</v>
      </c>
      <c r="H70" s="2">
        <v>44</v>
      </c>
      <c r="I70" s="2">
        <v>75</v>
      </c>
      <c r="J70" s="2">
        <f t="shared" si="3"/>
        <v>65.7</v>
      </c>
      <c r="K70" s="2"/>
      <c r="L70" s="6">
        <v>36</v>
      </c>
      <c r="M70" s="6">
        <v>20</v>
      </c>
    </row>
    <row r="71" spans="1:13" ht="18.75" customHeight="1">
      <c r="A71" s="6" t="str">
        <f>"10522018022709261682146"</f>
        <v>10522018022709261682146</v>
      </c>
      <c r="B71" s="4">
        <v>69</v>
      </c>
      <c r="C71" s="1" t="s">
        <v>6</v>
      </c>
      <c r="D71" s="2" t="str">
        <f>"男"</f>
        <v>男</v>
      </c>
      <c r="E71" s="2" t="str">
        <f>"341223199301195119"</f>
        <v>341223199301195119</v>
      </c>
      <c r="F71" s="3" t="str">
        <f>"口腔医学"</f>
        <v>口腔医学</v>
      </c>
      <c r="G71" s="2" t="str">
        <f>"2018013708"</f>
        <v>2018013708</v>
      </c>
      <c r="H71" s="2">
        <v>66.5</v>
      </c>
      <c r="I71" s="2">
        <v>100</v>
      </c>
      <c r="J71" s="2">
        <f t="shared" si="3"/>
        <v>89.95</v>
      </c>
      <c r="K71" s="2"/>
      <c r="L71" s="6">
        <v>37</v>
      </c>
      <c r="M71" s="6">
        <v>8</v>
      </c>
    </row>
    <row r="72" spans="1:13" ht="18.75" customHeight="1">
      <c r="A72" s="6" t="str">
        <f>"10522018022613222181837"</f>
        <v>10522018022613222181837</v>
      </c>
      <c r="B72" s="4">
        <v>70</v>
      </c>
      <c r="C72" s="1" t="s">
        <v>6</v>
      </c>
      <c r="D72" s="2" t="str">
        <f>"女"</f>
        <v>女</v>
      </c>
      <c r="E72" s="2" t="str">
        <f>"341281199412080844"</f>
        <v>341281199412080844</v>
      </c>
      <c r="F72" s="3" t="str">
        <f>"口腔医学"</f>
        <v>口腔医学</v>
      </c>
      <c r="G72" s="2" t="str">
        <f>"2018013702"</f>
        <v>2018013702</v>
      </c>
      <c r="H72" s="2">
        <v>70.5</v>
      </c>
      <c r="I72" s="2">
        <v>87</v>
      </c>
      <c r="J72" s="2">
        <f t="shared" si="3"/>
        <v>82.05</v>
      </c>
      <c r="K72" s="2"/>
      <c r="L72" s="6">
        <v>37</v>
      </c>
      <c r="M72" s="6">
        <v>2</v>
      </c>
    </row>
    <row r="73" spans="1:13" ht="18.75" customHeight="1">
      <c r="A73" s="6" t="str">
        <f>"10522018022715182882279"</f>
        <v>10522018022715182882279</v>
      </c>
      <c r="B73" s="4">
        <v>71</v>
      </c>
      <c r="C73" s="1" t="s">
        <v>6</v>
      </c>
      <c r="D73" s="2" t="str">
        <f>"女"</f>
        <v>女</v>
      </c>
      <c r="E73" s="2" t="str">
        <f>"341223199010115326"</f>
        <v>341223199010115326</v>
      </c>
      <c r="F73" s="3" t="str">
        <f>"口腔医学专业"</f>
        <v>口腔医学专业</v>
      </c>
      <c r="G73" s="2" t="str">
        <f>"2018013705"</f>
        <v>2018013705</v>
      </c>
      <c r="H73" s="2">
        <v>45</v>
      </c>
      <c r="I73" s="2">
        <v>87</v>
      </c>
      <c r="J73" s="2">
        <f t="shared" si="3"/>
        <v>74.400000000000006</v>
      </c>
      <c r="K73" s="2"/>
      <c r="L73" s="6">
        <v>37</v>
      </c>
      <c r="M73" s="6">
        <v>5</v>
      </c>
    </row>
    <row r="74" spans="1:13" ht="18.75" customHeight="1">
      <c r="A74" s="6" t="str">
        <f>"10522018022712024482208"</f>
        <v>10522018022712024482208</v>
      </c>
      <c r="B74" s="4">
        <v>72</v>
      </c>
      <c r="C74" s="1" t="s">
        <v>7</v>
      </c>
      <c r="D74" s="2" t="str">
        <f>"女"</f>
        <v>女</v>
      </c>
      <c r="E74" s="2" t="str">
        <f>"341621199507302521"</f>
        <v>341621199507302521</v>
      </c>
      <c r="F74" s="3" t="str">
        <f>"针灸推拿学"</f>
        <v>针灸推拿学</v>
      </c>
      <c r="G74" s="2" t="str">
        <f>"2018013901"</f>
        <v>2018013901</v>
      </c>
      <c r="H74" s="2">
        <v>54.5</v>
      </c>
      <c r="I74" s="2">
        <v>88</v>
      </c>
      <c r="J74" s="2">
        <f t="shared" si="3"/>
        <v>77.949999999999989</v>
      </c>
      <c r="K74" s="2"/>
      <c r="L74" s="6">
        <v>39</v>
      </c>
      <c r="M74" s="6">
        <v>1</v>
      </c>
    </row>
    <row r="75" spans="1:13" ht="18.75" customHeight="1">
      <c r="A75" s="6" t="str">
        <f>"10522018022618345582013"</f>
        <v>10522018022618345582013</v>
      </c>
      <c r="B75" s="4">
        <v>73</v>
      </c>
      <c r="C75" s="1" t="s">
        <v>7</v>
      </c>
      <c r="D75" s="2" t="str">
        <f>"女"</f>
        <v>女</v>
      </c>
      <c r="E75" s="2" t="str">
        <f>"341223199211204149"</f>
        <v>341223199211204149</v>
      </c>
      <c r="F75" s="3" t="str">
        <f>"针灸推拿学"</f>
        <v>针灸推拿学</v>
      </c>
      <c r="G75" s="2" t="str">
        <f>"2018013904"</f>
        <v>2018013904</v>
      </c>
      <c r="H75" s="2">
        <v>47</v>
      </c>
      <c r="I75" s="2">
        <v>83.5</v>
      </c>
      <c r="J75" s="2">
        <f t="shared" si="3"/>
        <v>72.55</v>
      </c>
      <c r="K75" s="2"/>
      <c r="L75" s="6">
        <v>39</v>
      </c>
      <c r="M75" s="6">
        <v>4</v>
      </c>
    </row>
    <row r="76" spans="1:13" ht="18.75" customHeight="1">
      <c r="A76" s="6" t="str">
        <f>"10522018030215215783180"</f>
        <v>10522018030215215783180</v>
      </c>
      <c r="B76" s="4">
        <v>74</v>
      </c>
      <c r="C76" s="1" t="s">
        <v>7</v>
      </c>
      <c r="D76" s="2" t="str">
        <f>"男"</f>
        <v>男</v>
      </c>
      <c r="E76" s="2" t="str">
        <f>"341222199001153033"</f>
        <v>341222199001153033</v>
      </c>
      <c r="F76" s="3" t="str">
        <f>"针灸推拿学"</f>
        <v>针灸推拿学</v>
      </c>
      <c r="G76" s="2" t="str">
        <f>"2018013902"</f>
        <v>2018013902</v>
      </c>
      <c r="H76" s="2">
        <v>61</v>
      </c>
      <c r="I76" s="2">
        <v>65</v>
      </c>
      <c r="J76" s="2">
        <f t="shared" si="3"/>
        <v>63.8</v>
      </c>
      <c r="K76" s="2"/>
      <c r="L76" s="6">
        <v>39</v>
      </c>
      <c r="M76" s="6">
        <v>2</v>
      </c>
    </row>
    <row r="77" spans="1:13" ht="18.75" customHeight="1">
      <c r="A77" s="6" t="str">
        <f>"10522018022611023981730"</f>
        <v>10522018022611023981730</v>
      </c>
      <c r="B77" s="4">
        <v>75</v>
      </c>
      <c r="C77" s="1" t="s">
        <v>8</v>
      </c>
      <c r="D77" s="2" t="str">
        <f t="shared" ref="D77:D83" si="4">"女"</f>
        <v>女</v>
      </c>
      <c r="E77" s="2" t="str">
        <f>"341224199501161323"</f>
        <v>341224199501161323</v>
      </c>
      <c r="F77" s="3" t="str">
        <f t="shared" ref="F77:F85" si="5">"医学检验技术"</f>
        <v>医学检验技术</v>
      </c>
      <c r="G77" s="2" t="str">
        <f>"2018010416"</f>
        <v>2018010416</v>
      </c>
      <c r="H77" s="2">
        <v>61.5</v>
      </c>
      <c r="I77" s="2">
        <v>103</v>
      </c>
      <c r="J77" s="2">
        <f t="shared" si="3"/>
        <v>90.55</v>
      </c>
      <c r="K77" s="2"/>
      <c r="L77" s="6">
        <v>4</v>
      </c>
      <c r="M77" s="6">
        <v>16</v>
      </c>
    </row>
    <row r="78" spans="1:13" ht="18.75" customHeight="1">
      <c r="A78" s="6" t="str">
        <f>"10522018022615284781918"</f>
        <v>10522018022615284781918</v>
      </c>
      <c r="B78" s="4">
        <v>76</v>
      </c>
      <c r="C78" s="1" t="s">
        <v>8</v>
      </c>
      <c r="D78" s="2" t="str">
        <f t="shared" si="4"/>
        <v>女</v>
      </c>
      <c r="E78" s="2" t="str">
        <f>"341227199412155625"</f>
        <v>341227199412155625</v>
      </c>
      <c r="F78" s="3" t="str">
        <f t="shared" si="5"/>
        <v>医学检验技术</v>
      </c>
      <c r="G78" s="2" t="str">
        <f>"2018010422"</f>
        <v>2018010422</v>
      </c>
      <c r="H78" s="2">
        <v>47</v>
      </c>
      <c r="I78" s="2">
        <v>88</v>
      </c>
      <c r="J78" s="2">
        <f t="shared" si="3"/>
        <v>75.699999999999989</v>
      </c>
      <c r="K78" s="2"/>
      <c r="L78" s="6">
        <v>4</v>
      </c>
      <c r="M78" s="6">
        <v>22</v>
      </c>
    </row>
    <row r="79" spans="1:13" ht="18.75" customHeight="1">
      <c r="A79" s="6" t="str">
        <f>"10522018022715242682282"</f>
        <v>10522018022715242682282</v>
      </c>
      <c r="B79" s="4">
        <v>77</v>
      </c>
      <c r="C79" s="1" t="s">
        <v>8</v>
      </c>
      <c r="D79" s="2" t="str">
        <f t="shared" si="4"/>
        <v>女</v>
      </c>
      <c r="E79" s="2" t="str">
        <f>"341223199607021728"</f>
        <v>341223199607021728</v>
      </c>
      <c r="F79" s="3" t="str">
        <f t="shared" si="5"/>
        <v>医学检验技术</v>
      </c>
      <c r="G79" s="2" t="str">
        <f>"2018010419"</f>
        <v>2018010419</v>
      </c>
      <c r="H79" s="2">
        <v>70</v>
      </c>
      <c r="I79" s="2">
        <v>78</v>
      </c>
      <c r="J79" s="2">
        <f t="shared" si="3"/>
        <v>75.599999999999994</v>
      </c>
      <c r="K79" s="2"/>
      <c r="L79" s="6">
        <v>4</v>
      </c>
      <c r="M79" s="6">
        <v>19</v>
      </c>
    </row>
    <row r="80" spans="1:13" ht="18.75" customHeight="1">
      <c r="A80" s="6" t="str">
        <f>"10522018022718465782336"</f>
        <v>10522018022718465782336</v>
      </c>
      <c r="B80" s="4">
        <v>78</v>
      </c>
      <c r="C80" s="1" t="s">
        <v>8</v>
      </c>
      <c r="D80" s="2" t="str">
        <f t="shared" si="4"/>
        <v>女</v>
      </c>
      <c r="E80" s="2" t="str">
        <f>"341223199110085128"</f>
        <v>341223199110085128</v>
      </c>
      <c r="F80" s="3" t="str">
        <f t="shared" si="5"/>
        <v>医学检验技术</v>
      </c>
      <c r="G80" s="2" t="str">
        <f>"2018010427"</f>
        <v>2018010427</v>
      </c>
      <c r="H80" s="2">
        <v>48</v>
      </c>
      <c r="I80" s="2">
        <v>87</v>
      </c>
      <c r="J80" s="2">
        <f t="shared" si="3"/>
        <v>75.3</v>
      </c>
      <c r="K80" s="2"/>
      <c r="L80" s="6">
        <v>4</v>
      </c>
      <c r="M80" s="6">
        <v>27</v>
      </c>
    </row>
    <row r="81" spans="1:13" ht="18.75" customHeight="1">
      <c r="A81" s="6" t="str">
        <f>"10522018022720121982390"</f>
        <v>10522018022720121982390</v>
      </c>
      <c r="B81" s="4">
        <v>79</v>
      </c>
      <c r="C81" s="1" t="s">
        <v>8</v>
      </c>
      <c r="D81" s="2" t="str">
        <f t="shared" si="4"/>
        <v>女</v>
      </c>
      <c r="E81" s="2" t="str">
        <f>"341621199307161728"</f>
        <v>341621199307161728</v>
      </c>
      <c r="F81" s="3" t="str">
        <f t="shared" si="5"/>
        <v>医学检验技术</v>
      </c>
      <c r="G81" s="2" t="str">
        <f>"2018010402"</f>
        <v>2018010402</v>
      </c>
      <c r="H81" s="2">
        <v>45</v>
      </c>
      <c r="I81" s="2">
        <v>84</v>
      </c>
      <c r="J81" s="2">
        <f t="shared" si="3"/>
        <v>72.3</v>
      </c>
      <c r="K81" s="2"/>
      <c r="L81" s="6">
        <v>4</v>
      </c>
      <c r="M81" s="6">
        <v>2</v>
      </c>
    </row>
    <row r="82" spans="1:13" ht="18.75" customHeight="1">
      <c r="A82" s="6" t="str">
        <f>"10522018022614362081887"</f>
        <v>10522018022614362081887</v>
      </c>
      <c r="B82" s="4">
        <v>80</v>
      </c>
      <c r="C82" s="1" t="s">
        <v>8</v>
      </c>
      <c r="D82" s="2" t="str">
        <f t="shared" si="4"/>
        <v>女</v>
      </c>
      <c r="E82" s="2" t="str">
        <f>"341281199406280620"</f>
        <v>341281199406280620</v>
      </c>
      <c r="F82" s="3" t="str">
        <f t="shared" si="5"/>
        <v>医学检验技术</v>
      </c>
      <c r="G82" s="2" t="str">
        <f>"2018010405"</f>
        <v>2018010405</v>
      </c>
      <c r="H82" s="2">
        <v>70.5</v>
      </c>
      <c r="I82" s="2">
        <v>73</v>
      </c>
      <c r="J82" s="2">
        <f t="shared" si="3"/>
        <v>72.25</v>
      </c>
      <c r="K82" s="2"/>
      <c r="L82" s="6">
        <v>4</v>
      </c>
      <c r="M82" s="6">
        <v>5</v>
      </c>
    </row>
    <row r="83" spans="1:13" ht="18.75" customHeight="1">
      <c r="A83" s="6" t="str">
        <f>"10522018022611161781748"</f>
        <v>10522018022611161781748</v>
      </c>
      <c r="B83" s="4">
        <v>81</v>
      </c>
      <c r="C83" s="1" t="s">
        <v>8</v>
      </c>
      <c r="D83" s="2" t="str">
        <f t="shared" si="4"/>
        <v>女</v>
      </c>
      <c r="E83" s="2" t="str">
        <f>"341602199511140028"</f>
        <v>341602199511140028</v>
      </c>
      <c r="F83" s="3" t="str">
        <f t="shared" si="5"/>
        <v>医学检验技术</v>
      </c>
      <c r="G83" s="2" t="str">
        <f>"2018010417"</f>
        <v>2018010417</v>
      </c>
      <c r="H83" s="2">
        <v>53.5</v>
      </c>
      <c r="I83" s="2">
        <v>80</v>
      </c>
      <c r="J83" s="2">
        <f t="shared" si="3"/>
        <v>72.05</v>
      </c>
      <c r="K83" s="2"/>
      <c r="L83" s="6">
        <v>4</v>
      </c>
      <c r="M83" s="6">
        <v>17</v>
      </c>
    </row>
    <row r="84" spans="1:13" ht="18.75" customHeight="1">
      <c r="A84" s="6" t="str">
        <f>"10522018022610071481650"</f>
        <v>10522018022610071481650</v>
      </c>
      <c r="B84" s="4">
        <v>82</v>
      </c>
      <c r="C84" s="1" t="s">
        <v>8</v>
      </c>
      <c r="D84" s="2" t="str">
        <f>"男"</f>
        <v>男</v>
      </c>
      <c r="E84" s="2" t="str">
        <f>"341281198809230615"</f>
        <v>341281198809230615</v>
      </c>
      <c r="F84" s="3" t="str">
        <f t="shared" si="5"/>
        <v>医学检验技术</v>
      </c>
      <c r="G84" s="2" t="str">
        <f>"2018010406"</f>
        <v>2018010406</v>
      </c>
      <c r="H84" s="2">
        <v>60.5</v>
      </c>
      <c r="I84" s="2">
        <v>75</v>
      </c>
      <c r="J84" s="2">
        <f t="shared" si="3"/>
        <v>70.650000000000006</v>
      </c>
      <c r="K84" s="2"/>
      <c r="L84" s="6">
        <v>4</v>
      </c>
      <c r="M84" s="6">
        <v>6</v>
      </c>
    </row>
    <row r="85" spans="1:13" ht="18.75" customHeight="1">
      <c r="A85" s="6" t="str">
        <f>"10522018022619053382025"</f>
        <v>10522018022619053382025</v>
      </c>
      <c r="B85" s="4">
        <v>83</v>
      </c>
      <c r="C85" s="1" t="s">
        <v>8</v>
      </c>
      <c r="D85" s="2" t="str">
        <f>"女"</f>
        <v>女</v>
      </c>
      <c r="E85" s="2" t="str">
        <f>"341621199605102742"</f>
        <v>341621199605102742</v>
      </c>
      <c r="F85" s="3" t="str">
        <f t="shared" si="5"/>
        <v>医学检验技术</v>
      </c>
      <c r="G85" s="2" t="str">
        <f>"2018010425"</f>
        <v>2018010425</v>
      </c>
      <c r="H85" s="2">
        <v>53</v>
      </c>
      <c r="I85" s="2">
        <v>78</v>
      </c>
      <c r="J85" s="2">
        <f t="shared" si="3"/>
        <v>70.5</v>
      </c>
      <c r="K85" s="2"/>
      <c r="L85" s="6">
        <v>4</v>
      </c>
      <c r="M85" s="6">
        <v>25</v>
      </c>
    </row>
    <row r="86" spans="1:13" ht="18.75" customHeight="1">
      <c r="A86" s="6" t="str">
        <f>"10522018022808354382466"</f>
        <v>10522018022808354382466</v>
      </c>
      <c r="B86" s="4">
        <v>84</v>
      </c>
      <c r="C86" s="1" t="s">
        <v>9</v>
      </c>
      <c r="D86" s="2" t="str">
        <f>"女"</f>
        <v>女</v>
      </c>
      <c r="E86" s="2" t="str">
        <f>"341621199411122526"</f>
        <v>341621199411122526</v>
      </c>
      <c r="F86" s="3" t="str">
        <f>"医学影像学"</f>
        <v>医学影像学</v>
      </c>
      <c r="G86" s="2" t="str">
        <f>"2018013807"</f>
        <v>2018013807</v>
      </c>
      <c r="H86" s="2">
        <v>49.5</v>
      </c>
      <c r="I86" s="2">
        <v>79</v>
      </c>
      <c r="J86" s="2">
        <f t="shared" si="3"/>
        <v>70.149999999999991</v>
      </c>
      <c r="K86" s="2"/>
      <c r="L86" s="6">
        <v>38</v>
      </c>
      <c r="M86" s="6">
        <v>7</v>
      </c>
    </row>
    <row r="87" spans="1:13" ht="18.75" customHeight="1">
      <c r="A87" s="6" t="str">
        <f>"10522018022622081682105"</f>
        <v>10522018022622081682105</v>
      </c>
      <c r="B87" s="4">
        <v>85</v>
      </c>
      <c r="C87" s="1" t="s">
        <v>9</v>
      </c>
      <c r="D87" s="2" t="str">
        <f>"女"</f>
        <v>女</v>
      </c>
      <c r="E87" s="2" t="str">
        <f>"341223199406204341"</f>
        <v>341223199406204341</v>
      </c>
      <c r="F87" s="3" t="str">
        <f>"医学影像学"</f>
        <v>医学影像学</v>
      </c>
      <c r="G87" s="2" t="str">
        <f>"2018013802"</f>
        <v>2018013802</v>
      </c>
      <c r="H87" s="2">
        <v>53.5</v>
      </c>
      <c r="I87" s="2">
        <v>77</v>
      </c>
      <c r="J87" s="2">
        <f t="shared" si="3"/>
        <v>69.95</v>
      </c>
      <c r="K87" s="2"/>
      <c r="L87" s="6">
        <v>38</v>
      </c>
      <c r="M87" s="6">
        <v>2</v>
      </c>
    </row>
    <row r="88" spans="1:13" ht="18.75" customHeight="1">
      <c r="A88" s="6" t="str">
        <f>"10522018022612402681803"</f>
        <v>10522018022612402681803</v>
      </c>
      <c r="B88" s="4">
        <v>86</v>
      </c>
      <c r="C88" s="1" t="s">
        <v>9</v>
      </c>
      <c r="D88" s="2" t="str">
        <f>"女"</f>
        <v>女</v>
      </c>
      <c r="E88" s="2" t="str">
        <f>"341621199605065347"</f>
        <v>341621199605065347</v>
      </c>
      <c r="F88" s="3" t="str">
        <f>"医学影像学"</f>
        <v>医学影像学</v>
      </c>
      <c r="G88" s="2" t="str">
        <f>"2018013801"</f>
        <v>2018013801</v>
      </c>
      <c r="H88" s="2">
        <v>62</v>
      </c>
      <c r="I88" s="2">
        <v>73</v>
      </c>
      <c r="J88" s="2">
        <f t="shared" si="3"/>
        <v>69.699999999999989</v>
      </c>
      <c r="K88" s="2"/>
      <c r="L88" s="6">
        <v>38</v>
      </c>
      <c r="M88" s="6">
        <v>1</v>
      </c>
    </row>
    <row r="89" spans="1:13" ht="18.75" customHeight="1">
      <c r="A89" s="6" t="str">
        <f>"10522018022810445782522"</f>
        <v>10522018022810445782522</v>
      </c>
      <c r="B89" s="4">
        <v>87</v>
      </c>
      <c r="C89" s="1" t="s">
        <v>9</v>
      </c>
      <c r="D89" s="2" t="str">
        <f>"男"</f>
        <v>男</v>
      </c>
      <c r="E89" s="2" t="str">
        <f>"341281199410217798"</f>
        <v>341281199410217798</v>
      </c>
      <c r="F89" s="3" t="str">
        <f>"医学影像学"</f>
        <v>医学影像学</v>
      </c>
      <c r="G89" s="2" t="str">
        <f>"2018013803"</f>
        <v>2018013803</v>
      </c>
      <c r="H89" s="2">
        <v>45</v>
      </c>
      <c r="I89" s="2">
        <v>80</v>
      </c>
      <c r="J89" s="2">
        <f t="shared" si="3"/>
        <v>69.5</v>
      </c>
      <c r="K89" s="2"/>
      <c r="L89" s="6">
        <v>38</v>
      </c>
      <c r="M89" s="6">
        <v>3</v>
      </c>
    </row>
    <row r="90" spans="1:13" ht="18.75" customHeight="1">
      <c r="A90" s="6" t="str">
        <f>"10522018022713455282242"</f>
        <v>10522018022713455282242</v>
      </c>
      <c r="B90" s="4">
        <v>88</v>
      </c>
      <c r="C90" s="1" t="s">
        <v>9</v>
      </c>
      <c r="D90" s="2" t="str">
        <f>"女"</f>
        <v>女</v>
      </c>
      <c r="E90" s="2" t="str">
        <f>"341621199401045141"</f>
        <v>341621199401045141</v>
      </c>
      <c r="F90" s="3" t="str">
        <f>"医学影像学"</f>
        <v>医学影像学</v>
      </c>
      <c r="G90" s="2" t="str">
        <f>"2018013804"</f>
        <v>2018013804</v>
      </c>
      <c r="H90" s="2">
        <v>47</v>
      </c>
      <c r="I90" s="2">
        <v>75</v>
      </c>
      <c r="J90" s="2">
        <f t="shared" si="3"/>
        <v>66.599999999999994</v>
      </c>
      <c r="K90" s="2"/>
      <c r="L90" s="6">
        <v>38</v>
      </c>
      <c r="M90" s="6">
        <v>4</v>
      </c>
    </row>
    <row r="91" spans="1:13" ht="18.75" customHeight="1">
      <c r="A91" s="6" t="str">
        <f>"10522018022712075482211"</f>
        <v>10522018022712075482211</v>
      </c>
      <c r="B91" s="4">
        <v>89</v>
      </c>
      <c r="C91" s="1" t="s">
        <v>10</v>
      </c>
      <c r="D91" s="2" t="str">
        <f>"男"</f>
        <v>男</v>
      </c>
      <c r="E91" s="2" t="str">
        <f>"372901199410210214"</f>
        <v>372901199410210214</v>
      </c>
      <c r="F91" s="3" t="str">
        <f>"医学影像技术"</f>
        <v>医学影像技术</v>
      </c>
      <c r="G91" s="2" t="str">
        <f>"2018013811"</f>
        <v>2018013811</v>
      </c>
      <c r="H91" s="2">
        <v>73</v>
      </c>
      <c r="I91" s="2">
        <v>73</v>
      </c>
      <c r="J91" s="2">
        <f t="shared" si="3"/>
        <v>73</v>
      </c>
      <c r="K91" s="2"/>
      <c r="L91" s="6">
        <v>38</v>
      </c>
      <c r="M91" s="6">
        <v>11</v>
      </c>
    </row>
    <row r="92" spans="1:13" ht="18.75" customHeight="1">
      <c r="A92" s="6" t="str">
        <f>"10522018022720324282397"</f>
        <v>10522018022720324282397</v>
      </c>
      <c r="B92" s="4">
        <v>90</v>
      </c>
      <c r="C92" s="1" t="s">
        <v>10</v>
      </c>
      <c r="D92" s="2" t="str">
        <f>"男"</f>
        <v>男</v>
      </c>
      <c r="E92" s="2" t="str">
        <f>"341227199604186434"</f>
        <v>341227199604186434</v>
      </c>
      <c r="F92" s="3" t="str">
        <f>"医学影像技术"</f>
        <v>医学影像技术</v>
      </c>
      <c r="G92" s="2" t="str">
        <f>"2018013813"</f>
        <v>2018013813</v>
      </c>
      <c r="H92" s="2">
        <v>78.5</v>
      </c>
      <c r="I92" s="2">
        <v>54</v>
      </c>
      <c r="J92" s="2">
        <f t="shared" si="3"/>
        <v>61.349999999999994</v>
      </c>
      <c r="K92" s="2"/>
      <c r="L92" s="6">
        <v>38</v>
      </c>
      <c r="M92" s="6">
        <v>13</v>
      </c>
    </row>
    <row r="93" spans="1:13" ht="18.75" customHeight="1">
      <c r="A93" s="6" t="str">
        <f>"10522018022819461682717"</f>
        <v>10522018022819461682717</v>
      </c>
      <c r="B93" s="4">
        <v>91</v>
      </c>
      <c r="C93" s="1" t="s">
        <v>11</v>
      </c>
      <c r="D93" s="2" t="str">
        <f>"女"</f>
        <v>女</v>
      </c>
      <c r="E93" s="2" t="str">
        <f>"341224199110120460"</f>
        <v>341224199110120460</v>
      </c>
      <c r="F93" s="3" t="str">
        <f>"药学"</f>
        <v>药学</v>
      </c>
      <c r="G93" s="2" t="str">
        <f>"2018013718"</f>
        <v>2018013718</v>
      </c>
      <c r="H93" s="2">
        <v>60.5</v>
      </c>
      <c r="I93" s="2">
        <v>89</v>
      </c>
      <c r="J93" s="2">
        <f t="shared" si="3"/>
        <v>80.449999999999989</v>
      </c>
      <c r="K93" s="2"/>
      <c r="L93" s="6">
        <v>37</v>
      </c>
      <c r="M93" s="6">
        <v>18</v>
      </c>
    </row>
    <row r="94" spans="1:13" ht="18.75" customHeight="1">
      <c r="A94" s="6" t="str">
        <f>"10522018022711434082199"</f>
        <v>10522018022711434082199</v>
      </c>
      <c r="B94" s="4">
        <v>92</v>
      </c>
      <c r="C94" s="1" t="s">
        <v>11</v>
      </c>
      <c r="D94" s="2" t="str">
        <f>"男"</f>
        <v>男</v>
      </c>
      <c r="E94" s="2" t="str">
        <f>"341226199204123550"</f>
        <v>341226199204123550</v>
      </c>
      <c r="F94" s="3" t="str">
        <f>"药学"</f>
        <v>药学</v>
      </c>
      <c r="G94" s="2" t="str">
        <f>"2018013729"</f>
        <v>2018013729</v>
      </c>
      <c r="H94" s="2">
        <v>73.5</v>
      </c>
      <c r="I94" s="2">
        <v>83</v>
      </c>
      <c r="J94" s="2">
        <f t="shared" si="3"/>
        <v>80.149999999999991</v>
      </c>
      <c r="K94" s="2"/>
      <c r="L94" s="6">
        <v>37</v>
      </c>
      <c r="M94" s="6">
        <v>29</v>
      </c>
    </row>
    <row r="95" spans="1:13" ht="18.75" customHeight="1">
      <c r="A95" s="6" t="str">
        <f>"10522018022609113681587"</f>
        <v>10522018022609113681587</v>
      </c>
      <c r="B95" s="4">
        <v>93</v>
      </c>
      <c r="C95" s="1" t="s">
        <v>11</v>
      </c>
      <c r="D95" s="2" t="str">
        <f>"男"</f>
        <v>男</v>
      </c>
      <c r="E95" s="2" t="str">
        <f>"341621199010195118"</f>
        <v>341621199010195118</v>
      </c>
      <c r="F95" s="3" t="str">
        <f>"药学"</f>
        <v>药学</v>
      </c>
      <c r="G95" s="2" t="str">
        <f>"2018013716"</f>
        <v>2018013716</v>
      </c>
      <c r="H95" s="2">
        <v>68</v>
      </c>
      <c r="I95" s="2">
        <v>81</v>
      </c>
      <c r="J95" s="2">
        <f t="shared" si="3"/>
        <v>77.099999999999994</v>
      </c>
      <c r="K95" s="2"/>
      <c r="L95" s="6">
        <v>37</v>
      </c>
      <c r="M95" s="6">
        <v>16</v>
      </c>
    </row>
    <row r="96" spans="1:13" ht="18.75" customHeight="1">
      <c r="A96" s="6" t="str">
        <f>"10522018030111465982852"</f>
        <v>10522018030111465982852</v>
      </c>
      <c r="B96" s="4">
        <v>94</v>
      </c>
      <c r="C96" s="1" t="s">
        <v>12</v>
      </c>
      <c r="D96" s="2" t="str">
        <f t="shared" ref="D96:D107" si="6">"女"</f>
        <v>女</v>
      </c>
      <c r="E96" s="2" t="str">
        <f>"341223199010121742"</f>
        <v>341223199010121742</v>
      </c>
      <c r="F96" s="3" t="str">
        <f>"中药学"</f>
        <v>中药学</v>
      </c>
      <c r="G96" s="2" t="str">
        <f>"2018013917"</f>
        <v>2018013917</v>
      </c>
      <c r="H96" s="2">
        <v>43</v>
      </c>
      <c r="I96" s="2">
        <v>82</v>
      </c>
      <c r="J96" s="2">
        <f t="shared" si="3"/>
        <v>70.3</v>
      </c>
      <c r="K96" s="2"/>
      <c r="L96" s="6">
        <v>39</v>
      </c>
      <c r="M96" s="6">
        <v>17</v>
      </c>
    </row>
    <row r="97" spans="1:13" ht="18.75" customHeight="1">
      <c r="A97" s="6" t="str">
        <f>"10522018022610554481722"</f>
        <v>10522018022610554481722</v>
      </c>
      <c r="B97" s="4">
        <v>95</v>
      </c>
      <c r="C97" s="1" t="s">
        <v>13</v>
      </c>
      <c r="D97" s="2" t="str">
        <f t="shared" si="6"/>
        <v>女</v>
      </c>
      <c r="E97" s="2" t="str">
        <f>"341223199602210247"</f>
        <v>341223199602210247</v>
      </c>
      <c r="F97" s="3" t="str">
        <f t="shared" ref="F97:F110" si="7">"护理学"</f>
        <v>护理学</v>
      </c>
      <c r="G97" s="2" t="str">
        <f>"2018010514"</f>
        <v>2018010514</v>
      </c>
      <c r="H97" s="2">
        <v>75.5</v>
      </c>
      <c r="I97" s="2">
        <v>104</v>
      </c>
      <c r="J97" s="2">
        <f t="shared" si="3"/>
        <v>95.449999999999989</v>
      </c>
      <c r="K97" s="2"/>
      <c r="L97" s="6">
        <v>5</v>
      </c>
      <c r="M97" s="6">
        <v>14</v>
      </c>
    </row>
    <row r="98" spans="1:13" ht="18.75" customHeight="1">
      <c r="A98" s="6" t="str">
        <f>"10522018022709513382156"</f>
        <v>10522018022709513382156</v>
      </c>
      <c r="B98" s="4">
        <v>96</v>
      </c>
      <c r="C98" s="1" t="s">
        <v>13</v>
      </c>
      <c r="D98" s="2" t="str">
        <f t="shared" si="6"/>
        <v>女</v>
      </c>
      <c r="E98" s="2" t="str">
        <f>"34162119920227032X"</f>
        <v>34162119920227032X</v>
      </c>
      <c r="F98" s="3" t="str">
        <f t="shared" si="7"/>
        <v>护理学</v>
      </c>
      <c r="G98" s="2" t="str">
        <f>"2018010511"</f>
        <v>2018010511</v>
      </c>
      <c r="H98" s="2">
        <v>56</v>
      </c>
      <c r="I98" s="2">
        <v>107</v>
      </c>
      <c r="J98" s="2">
        <f t="shared" si="3"/>
        <v>91.699999999999989</v>
      </c>
      <c r="K98" s="2"/>
      <c r="L98" s="6">
        <v>5</v>
      </c>
      <c r="M98" s="6">
        <v>11</v>
      </c>
    </row>
    <row r="99" spans="1:13" ht="18.75" customHeight="1">
      <c r="A99" s="6" t="str">
        <f>"10522018022614151281875"</f>
        <v>10522018022614151281875</v>
      </c>
      <c r="B99" s="4">
        <v>97</v>
      </c>
      <c r="C99" s="1" t="s">
        <v>13</v>
      </c>
      <c r="D99" s="2" t="str">
        <f t="shared" si="6"/>
        <v>女</v>
      </c>
      <c r="E99" s="2" t="str">
        <f>"341621199401122143"</f>
        <v>341621199401122143</v>
      </c>
      <c r="F99" s="3" t="str">
        <f t="shared" si="7"/>
        <v>护理学</v>
      </c>
      <c r="G99" s="2" t="str">
        <f>"2018010505"</f>
        <v>2018010505</v>
      </c>
      <c r="H99" s="2">
        <v>42</v>
      </c>
      <c r="I99" s="2">
        <v>107</v>
      </c>
      <c r="J99" s="2">
        <f t="shared" si="3"/>
        <v>87.499999999999986</v>
      </c>
      <c r="K99" s="2"/>
      <c r="L99" s="6">
        <v>5</v>
      </c>
      <c r="M99" s="6">
        <v>5</v>
      </c>
    </row>
    <row r="100" spans="1:13" ht="18.75" customHeight="1">
      <c r="A100" s="6" t="str">
        <f>"10522018022713594582248"</f>
        <v>10522018022713594582248</v>
      </c>
      <c r="B100" s="4">
        <v>98</v>
      </c>
      <c r="C100" s="1" t="s">
        <v>13</v>
      </c>
      <c r="D100" s="2" t="str">
        <f t="shared" si="6"/>
        <v>女</v>
      </c>
      <c r="E100" s="2" t="str">
        <f>"341281199602170189"</f>
        <v>341281199602170189</v>
      </c>
      <c r="F100" s="3" t="str">
        <f t="shared" si="7"/>
        <v>护理学</v>
      </c>
      <c r="G100" s="2" t="str">
        <f>"2018010501"</f>
        <v>2018010501</v>
      </c>
      <c r="H100" s="2">
        <v>52</v>
      </c>
      <c r="I100" s="2">
        <v>102</v>
      </c>
      <c r="J100" s="2">
        <f t="shared" si="3"/>
        <v>86.999999999999986</v>
      </c>
      <c r="K100" s="2"/>
      <c r="L100" s="6">
        <v>5</v>
      </c>
      <c r="M100" s="6">
        <v>1</v>
      </c>
    </row>
    <row r="101" spans="1:13" ht="18.75" customHeight="1">
      <c r="A101" s="6" t="str">
        <f>"10522018022619514682038"</f>
        <v>10522018022619514682038</v>
      </c>
      <c r="B101" s="4">
        <v>99</v>
      </c>
      <c r="C101" s="1" t="s">
        <v>13</v>
      </c>
      <c r="D101" s="2" t="str">
        <f t="shared" si="6"/>
        <v>女</v>
      </c>
      <c r="E101" s="2" t="str">
        <f>"341223199211041124"</f>
        <v>341223199211041124</v>
      </c>
      <c r="F101" s="3" t="str">
        <f t="shared" si="7"/>
        <v>护理学</v>
      </c>
      <c r="G101" s="2" t="str">
        <f>"2018010508"</f>
        <v>2018010508</v>
      </c>
      <c r="H101" s="2">
        <v>55</v>
      </c>
      <c r="I101" s="2">
        <v>100</v>
      </c>
      <c r="J101" s="2">
        <f t="shared" si="3"/>
        <v>86.5</v>
      </c>
      <c r="K101" s="2"/>
      <c r="L101" s="6">
        <v>5</v>
      </c>
      <c r="M101" s="6">
        <v>8</v>
      </c>
    </row>
    <row r="102" spans="1:13" ht="18.75" customHeight="1">
      <c r="A102" s="6" t="str">
        <f>"10522018022722532082445"</f>
        <v>10522018022722532082445</v>
      </c>
      <c r="B102" s="4">
        <v>100</v>
      </c>
      <c r="C102" s="1" t="s">
        <v>13</v>
      </c>
      <c r="D102" s="2" t="str">
        <f t="shared" si="6"/>
        <v>女</v>
      </c>
      <c r="E102" s="2" t="str">
        <f>"34122419920408822X"</f>
        <v>34122419920408822X</v>
      </c>
      <c r="F102" s="3" t="str">
        <f t="shared" si="7"/>
        <v>护理学</v>
      </c>
      <c r="G102" s="2" t="str">
        <f>"2018010520"</f>
        <v>2018010520</v>
      </c>
      <c r="H102" s="2">
        <v>50</v>
      </c>
      <c r="I102" s="2">
        <v>100</v>
      </c>
      <c r="J102" s="2">
        <f t="shared" si="3"/>
        <v>85</v>
      </c>
      <c r="K102" s="2"/>
      <c r="L102" s="6">
        <v>5</v>
      </c>
      <c r="M102" s="6">
        <v>20</v>
      </c>
    </row>
    <row r="103" spans="1:13" ht="18.75" customHeight="1">
      <c r="A103" s="6" t="str">
        <f>"10522018022712433382221"</f>
        <v>10522018022712433382221</v>
      </c>
      <c r="B103" s="4">
        <v>101</v>
      </c>
      <c r="C103" s="1" t="s">
        <v>13</v>
      </c>
      <c r="D103" s="2" t="str">
        <f t="shared" si="6"/>
        <v>女</v>
      </c>
      <c r="E103" s="2" t="str">
        <f>"341223199412265327"</f>
        <v>341223199412265327</v>
      </c>
      <c r="F103" s="3" t="str">
        <f t="shared" si="7"/>
        <v>护理学</v>
      </c>
      <c r="G103" s="2" t="str">
        <f>"2018010506"</f>
        <v>2018010506</v>
      </c>
      <c r="H103" s="2">
        <v>49.5</v>
      </c>
      <c r="I103" s="2">
        <v>100</v>
      </c>
      <c r="J103" s="2">
        <f t="shared" si="3"/>
        <v>84.85</v>
      </c>
      <c r="K103" s="2"/>
      <c r="L103" s="6">
        <v>5</v>
      </c>
      <c r="M103" s="6">
        <v>6</v>
      </c>
    </row>
    <row r="104" spans="1:13" ht="18.75" customHeight="1">
      <c r="A104" s="6" t="str">
        <f>"10522018022613093681829"</f>
        <v>10522018022613093681829</v>
      </c>
      <c r="B104" s="4">
        <v>102</v>
      </c>
      <c r="C104" s="1" t="s">
        <v>13</v>
      </c>
      <c r="D104" s="2" t="str">
        <f t="shared" si="6"/>
        <v>女</v>
      </c>
      <c r="E104" s="2" t="str">
        <f>"341281198910064703"</f>
        <v>341281198910064703</v>
      </c>
      <c r="F104" s="3" t="str">
        <f t="shared" si="7"/>
        <v>护理学</v>
      </c>
      <c r="G104" s="2" t="str">
        <f>"2018010517"</f>
        <v>2018010517</v>
      </c>
      <c r="H104" s="2">
        <v>41.5</v>
      </c>
      <c r="I104" s="2">
        <v>96</v>
      </c>
      <c r="J104" s="2">
        <f t="shared" si="3"/>
        <v>79.649999999999991</v>
      </c>
      <c r="K104" s="2"/>
      <c r="L104" s="6">
        <v>5</v>
      </c>
      <c r="M104" s="6">
        <v>17</v>
      </c>
    </row>
    <row r="105" spans="1:13" ht="18.75" customHeight="1">
      <c r="A105" s="6" t="str">
        <f>"10522018022621205282086"</f>
        <v>10522018022621205282086</v>
      </c>
      <c r="B105" s="4">
        <v>103</v>
      </c>
      <c r="C105" s="1" t="s">
        <v>13</v>
      </c>
      <c r="D105" s="2" t="str">
        <f t="shared" si="6"/>
        <v>女</v>
      </c>
      <c r="E105" s="2" t="str">
        <f>"34122319940304352X"</f>
        <v>34122319940304352X</v>
      </c>
      <c r="F105" s="3" t="str">
        <f t="shared" si="7"/>
        <v>护理学</v>
      </c>
      <c r="G105" s="2" t="str">
        <f>"2018010504"</f>
        <v>2018010504</v>
      </c>
      <c r="H105" s="2">
        <v>47</v>
      </c>
      <c r="I105" s="2">
        <v>91</v>
      </c>
      <c r="J105" s="2">
        <f t="shared" si="3"/>
        <v>77.8</v>
      </c>
      <c r="K105" s="2"/>
      <c r="L105" s="6">
        <v>5</v>
      </c>
      <c r="M105" s="6">
        <v>4</v>
      </c>
    </row>
    <row r="106" spans="1:13" ht="18.75" customHeight="1">
      <c r="A106" s="6" t="str">
        <f>"10522018022719000482350"</f>
        <v>10522018022719000482350</v>
      </c>
      <c r="B106" s="4">
        <v>104</v>
      </c>
      <c r="C106" s="1" t="s">
        <v>13</v>
      </c>
      <c r="D106" s="2" t="str">
        <f t="shared" si="6"/>
        <v>女</v>
      </c>
      <c r="E106" s="2" t="str">
        <f>"34160219890629860X"</f>
        <v>34160219890629860X</v>
      </c>
      <c r="F106" s="3" t="str">
        <f t="shared" si="7"/>
        <v>护理学</v>
      </c>
      <c r="G106" s="2" t="str">
        <f>"2018010522"</f>
        <v>2018010522</v>
      </c>
      <c r="H106" s="2">
        <v>53</v>
      </c>
      <c r="I106" s="2">
        <v>87</v>
      </c>
      <c r="J106" s="2">
        <f t="shared" si="3"/>
        <v>76.8</v>
      </c>
      <c r="K106" s="2"/>
      <c r="L106" s="6">
        <v>5</v>
      </c>
      <c r="M106" s="6">
        <v>22</v>
      </c>
    </row>
    <row r="107" spans="1:13" ht="18.75" customHeight="1">
      <c r="A107" s="6" t="str">
        <f>"10522018022615550881936"</f>
        <v>10522018022615550881936</v>
      </c>
      <c r="B107" s="4">
        <v>105</v>
      </c>
      <c r="C107" s="1" t="s">
        <v>13</v>
      </c>
      <c r="D107" s="2" t="str">
        <f t="shared" si="6"/>
        <v>女</v>
      </c>
      <c r="E107" s="2" t="str">
        <f>"341621199405214520"</f>
        <v>341621199405214520</v>
      </c>
      <c r="F107" s="3" t="str">
        <f t="shared" si="7"/>
        <v>护理学</v>
      </c>
      <c r="G107" s="2" t="str">
        <f>"2018010509"</f>
        <v>2018010509</v>
      </c>
      <c r="H107" s="2">
        <v>62.5</v>
      </c>
      <c r="I107" s="2">
        <v>81</v>
      </c>
      <c r="J107" s="2">
        <f t="shared" si="3"/>
        <v>75.449999999999989</v>
      </c>
      <c r="K107" s="2"/>
      <c r="L107" s="6">
        <v>5</v>
      </c>
      <c r="M107" s="6">
        <v>9</v>
      </c>
    </row>
    <row r="108" spans="1:13" ht="18.75" customHeight="1">
      <c r="A108" s="6" t="str">
        <f>"10522018022610415281698"</f>
        <v>10522018022610415281698</v>
      </c>
      <c r="B108" s="4">
        <v>106</v>
      </c>
      <c r="C108" s="1" t="s">
        <v>13</v>
      </c>
      <c r="D108" s="2" t="str">
        <f>"男"</f>
        <v>男</v>
      </c>
      <c r="E108" s="2" t="str">
        <f>"341223199604170015"</f>
        <v>341223199604170015</v>
      </c>
      <c r="F108" s="3" t="str">
        <f t="shared" si="7"/>
        <v>护理学</v>
      </c>
      <c r="G108" s="2" t="str">
        <f>"2018010515"</f>
        <v>2018010515</v>
      </c>
      <c r="H108" s="2">
        <v>55.5</v>
      </c>
      <c r="I108" s="2">
        <v>81</v>
      </c>
      <c r="J108" s="2">
        <f t="shared" si="3"/>
        <v>73.349999999999994</v>
      </c>
      <c r="K108" s="2"/>
      <c r="L108" s="6">
        <v>5</v>
      </c>
      <c r="M108" s="6">
        <v>15</v>
      </c>
    </row>
    <row r="109" spans="1:13" ht="18.75" customHeight="1">
      <c r="A109" s="6" t="str">
        <f>"10522018022809443182491"</f>
        <v>10522018022809443182491</v>
      </c>
      <c r="B109" s="4">
        <v>107</v>
      </c>
      <c r="C109" s="1" t="s">
        <v>13</v>
      </c>
      <c r="D109" s="2" t="str">
        <f>"女"</f>
        <v>女</v>
      </c>
      <c r="E109" s="2" t="str">
        <f>"341281199601023523"</f>
        <v>341281199601023523</v>
      </c>
      <c r="F109" s="3" t="str">
        <f t="shared" si="7"/>
        <v>护理学</v>
      </c>
      <c r="G109" s="2" t="str">
        <f>"2018010513"</f>
        <v>2018010513</v>
      </c>
      <c r="H109" s="2">
        <v>60</v>
      </c>
      <c r="I109" s="2">
        <v>78</v>
      </c>
      <c r="J109" s="2">
        <f t="shared" si="3"/>
        <v>72.599999999999994</v>
      </c>
      <c r="K109" s="2"/>
      <c r="L109" s="6">
        <v>5</v>
      </c>
      <c r="M109" s="6">
        <v>13</v>
      </c>
    </row>
    <row r="110" spans="1:13" ht="18.75" customHeight="1">
      <c r="A110" s="6" t="str">
        <f>"10522018022809143782480"</f>
        <v>10522018022809143782480</v>
      </c>
      <c r="B110" s="4">
        <v>108</v>
      </c>
      <c r="C110" s="1" t="s">
        <v>13</v>
      </c>
      <c r="D110" s="2" t="str">
        <f>"男"</f>
        <v>男</v>
      </c>
      <c r="E110" s="2" t="str">
        <f>"341227199102045594"</f>
        <v>341227199102045594</v>
      </c>
      <c r="F110" s="3" t="str">
        <f t="shared" si="7"/>
        <v>护理学</v>
      </c>
      <c r="G110" s="2" t="str">
        <f>"2018010512"</f>
        <v>2018010512</v>
      </c>
      <c r="H110" s="2">
        <v>61</v>
      </c>
      <c r="I110" s="2">
        <v>74</v>
      </c>
      <c r="J110" s="2">
        <f t="shared" si="3"/>
        <v>70.099999999999994</v>
      </c>
      <c r="K110" s="2"/>
      <c r="L110" s="6">
        <v>5</v>
      </c>
      <c r="M110" s="6">
        <v>12</v>
      </c>
    </row>
    <row r="111" spans="1:13" ht="18.75" customHeight="1">
      <c r="A111" s="6" t="str">
        <f>"10522018022610411181696"</f>
        <v>10522018022610411181696</v>
      </c>
      <c r="B111" s="4">
        <v>109</v>
      </c>
      <c r="C111" s="1" t="s">
        <v>14</v>
      </c>
      <c r="D111" s="2" t="str">
        <f t="shared" ref="D111:D142" si="8">"女"</f>
        <v>女</v>
      </c>
      <c r="E111" s="2" t="str">
        <f>"341223199506195526"</f>
        <v>341223199506195526</v>
      </c>
      <c r="F111" s="3" t="str">
        <f>"护理"</f>
        <v>护理</v>
      </c>
      <c r="G111" s="2" t="str">
        <f>"2018011607"</f>
        <v>2018011607</v>
      </c>
      <c r="H111" s="2">
        <v>62.5</v>
      </c>
      <c r="I111" s="2">
        <v>108</v>
      </c>
      <c r="J111" s="2">
        <f t="shared" si="3"/>
        <v>94.35</v>
      </c>
      <c r="K111" s="2"/>
      <c r="L111" s="6">
        <v>16</v>
      </c>
      <c r="M111" s="6">
        <v>7</v>
      </c>
    </row>
    <row r="112" spans="1:13" ht="18.75" customHeight="1">
      <c r="A112" s="6" t="str">
        <f>"10522018022708305882130"</f>
        <v>10522018022708305882130</v>
      </c>
      <c r="B112" s="4">
        <v>110</v>
      </c>
      <c r="C112" s="1" t="s">
        <v>14</v>
      </c>
      <c r="D112" s="2" t="str">
        <f t="shared" si="8"/>
        <v>女</v>
      </c>
      <c r="E112" s="2" t="str">
        <f>"341621199305163121"</f>
        <v>341621199305163121</v>
      </c>
      <c r="F112" s="3" t="str">
        <f>"护理"</f>
        <v>护理</v>
      </c>
      <c r="G112" s="2" t="str">
        <f>"2018010816"</f>
        <v>2018010816</v>
      </c>
      <c r="H112" s="2">
        <v>65.5</v>
      </c>
      <c r="I112" s="2">
        <v>103</v>
      </c>
      <c r="J112" s="2">
        <f t="shared" si="3"/>
        <v>91.75</v>
      </c>
      <c r="K112" s="2"/>
      <c r="L112" s="6">
        <v>8</v>
      </c>
      <c r="M112" s="6">
        <v>16</v>
      </c>
    </row>
    <row r="113" spans="1:13" ht="18.75" customHeight="1">
      <c r="A113" s="6" t="str">
        <f>"10522018022612212881786"</f>
        <v>10522018022612212881786</v>
      </c>
      <c r="B113" s="4">
        <v>111</v>
      </c>
      <c r="C113" s="1" t="s">
        <v>14</v>
      </c>
      <c r="D113" s="2" t="str">
        <f t="shared" si="8"/>
        <v>女</v>
      </c>
      <c r="E113" s="2" t="str">
        <f>"341623199504127046"</f>
        <v>341623199504127046</v>
      </c>
      <c r="F113" s="3" t="str">
        <f>"护理专业"</f>
        <v>护理专业</v>
      </c>
      <c r="G113" s="2" t="str">
        <f>"2018011113"</f>
        <v>2018011113</v>
      </c>
      <c r="H113" s="2">
        <v>50</v>
      </c>
      <c r="I113" s="2">
        <v>109</v>
      </c>
      <c r="J113" s="2">
        <f t="shared" si="3"/>
        <v>91.3</v>
      </c>
      <c r="K113" s="2"/>
      <c r="L113" s="6">
        <v>11</v>
      </c>
      <c r="M113" s="6">
        <v>13</v>
      </c>
    </row>
    <row r="114" spans="1:13" ht="18.75" customHeight="1">
      <c r="A114" s="6" t="str">
        <f>"10522018022710291182177"</f>
        <v>10522018022710291182177</v>
      </c>
      <c r="B114" s="4">
        <v>112</v>
      </c>
      <c r="C114" s="1" t="s">
        <v>14</v>
      </c>
      <c r="D114" s="2" t="str">
        <f t="shared" si="8"/>
        <v>女</v>
      </c>
      <c r="E114" s="2" t="str">
        <f>"342124199707150326"</f>
        <v>342124199707150326</v>
      </c>
      <c r="F114" s="3" t="str">
        <f t="shared" ref="F114:F153" si="9">"护理"</f>
        <v>护理</v>
      </c>
      <c r="G114" s="2" t="str">
        <f>"2018010728"</f>
        <v>2018010728</v>
      </c>
      <c r="H114" s="2">
        <v>78.5</v>
      </c>
      <c r="I114" s="2">
        <v>96</v>
      </c>
      <c r="J114" s="2">
        <f t="shared" si="3"/>
        <v>90.749999999999986</v>
      </c>
      <c r="K114" s="2"/>
      <c r="L114" s="6">
        <v>7</v>
      </c>
      <c r="M114" s="6">
        <v>28</v>
      </c>
    </row>
    <row r="115" spans="1:13" ht="18.75" customHeight="1">
      <c r="A115" s="6" t="str">
        <f>"10522018022609124881589"</f>
        <v>10522018022609124881589</v>
      </c>
      <c r="B115" s="4">
        <v>113</v>
      </c>
      <c r="C115" s="1" t="s">
        <v>14</v>
      </c>
      <c r="D115" s="2" t="str">
        <f t="shared" si="8"/>
        <v>女</v>
      </c>
      <c r="E115" s="2" t="str">
        <f>"341224199301126822"</f>
        <v>341224199301126822</v>
      </c>
      <c r="F115" s="3" t="str">
        <f t="shared" si="9"/>
        <v>护理</v>
      </c>
      <c r="G115" s="2" t="str">
        <f>"2018010622"</f>
        <v>2018010622</v>
      </c>
      <c r="H115" s="2">
        <v>63</v>
      </c>
      <c r="I115" s="2">
        <v>102</v>
      </c>
      <c r="J115" s="2">
        <f t="shared" si="3"/>
        <v>90.299999999999983</v>
      </c>
      <c r="K115" s="2"/>
      <c r="L115" s="6">
        <v>6</v>
      </c>
      <c r="M115" s="6">
        <v>22</v>
      </c>
    </row>
    <row r="116" spans="1:13" ht="18.75" customHeight="1">
      <c r="A116" s="6" t="str">
        <f>"10522018022720283782395"</f>
        <v>10522018022720283782395</v>
      </c>
      <c r="B116" s="4">
        <v>114</v>
      </c>
      <c r="C116" s="1" t="s">
        <v>14</v>
      </c>
      <c r="D116" s="2" t="str">
        <f t="shared" si="8"/>
        <v>女</v>
      </c>
      <c r="E116" s="2" t="str">
        <f>"341621199509050081"</f>
        <v>341621199509050081</v>
      </c>
      <c r="F116" s="3" t="str">
        <f t="shared" si="9"/>
        <v>护理</v>
      </c>
      <c r="G116" s="2" t="str">
        <f>"2018011007"</f>
        <v>2018011007</v>
      </c>
      <c r="H116" s="2">
        <v>62</v>
      </c>
      <c r="I116" s="2">
        <v>102</v>
      </c>
      <c r="J116" s="2">
        <f t="shared" si="3"/>
        <v>89.999999999999986</v>
      </c>
      <c r="K116" s="2"/>
      <c r="L116" s="6">
        <v>10</v>
      </c>
      <c r="M116" s="6">
        <v>7</v>
      </c>
    </row>
    <row r="117" spans="1:13" ht="18.75" customHeight="1">
      <c r="A117" s="6" t="str">
        <f>"10522018022609583581641"</f>
        <v>10522018022609583581641</v>
      </c>
      <c r="B117" s="4">
        <v>115</v>
      </c>
      <c r="C117" s="1" t="s">
        <v>14</v>
      </c>
      <c r="D117" s="2" t="str">
        <f t="shared" si="8"/>
        <v>女</v>
      </c>
      <c r="E117" s="2" t="str">
        <f>"341623199801210225"</f>
        <v>341623199801210225</v>
      </c>
      <c r="F117" s="3" t="str">
        <f t="shared" si="9"/>
        <v>护理</v>
      </c>
      <c r="G117" s="2" t="str">
        <f>"2018012108"</f>
        <v>2018012108</v>
      </c>
      <c r="H117" s="2">
        <v>50.5</v>
      </c>
      <c r="I117" s="2">
        <v>106</v>
      </c>
      <c r="J117" s="2">
        <f t="shared" si="3"/>
        <v>89.35</v>
      </c>
      <c r="K117" s="2"/>
      <c r="L117" s="6">
        <v>21</v>
      </c>
      <c r="M117" s="6">
        <v>8</v>
      </c>
    </row>
    <row r="118" spans="1:13" ht="18.75" customHeight="1">
      <c r="A118" s="6" t="str">
        <f>"10522018022612383781800"</f>
        <v>10522018022612383781800</v>
      </c>
      <c r="B118" s="4">
        <v>116</v>
      </c>
      <c r="C118" s="1" t="s">
        <v>14</v>
      </c>
      <c r="D118" s="2" t="str">
        <f t="shared" si="8"/>
        <v>女</v>
      </c>
      <c r="E118" s="2" t="str">
        <f>"341623199804100021"</f>
        <v>341623199804100021</v>
      </c>
      <c r="F118" s="3" t="str">
        <f t="shared" si="9"/>
        <v>护理</v>
      </c>
      <c r="G118" s="2" t="str">
        <f>"2018011903"</f>
        <v>2018011903</v>
      </c>
      <c r="H118" s="2">
        <v>55.5</v>
      </c>
      <c r="I118" s="2">
        <v>103</v>
      </c>
      <c r="J118" s="2">
        <f t="shared" si="3"/>
        <v>88.75</v>
      </c>
      <c r="K118" s="2"/>
      <c r="L118" s="6">
        <v>19</v>
      </c>
      <c r="M118" s="6">
        <v>3</v>
      </c>
    </row>
    <row r="119" spans="1:13" ht="18.75" customHeight="1">
      <c r="A119" s="6" t="str">
        <f>"10522018022616132881947"</f>
        <v>10522018022616132881947</v>
      </c>
      <c r="B119" s="4">
        <v>117</v>
      </c>
      <c r="C119" s="1" t="s">
        <v>14</v>
      </c>
      <c r="D119" s="2" t="str">
        <f t="shared" si="8"/>
        <v>女</v>
      </c>
      <c r="E119" s="2" t="str">
        <f>"341227199605059525"</f>
        <v>341227199605059525</v>
      </c>
      <c r="F119" s="3" t="str">
        <f t="shared" si="9"/>
        <v>护理</v>
      </c>
      <c r="G119" s="2" t="str">
        <f>"2018012009"</f>
        <v>2018012009</v>
      </c>
      <c r="H119" s="2">
        <v>55</v>
      </c>
      <c r="I119" s="2">
        <v>103</v>
      </c>
      <c r="J119" s="2">
        <f t="shared" si="3"/>
        <v>88.6</v>
      </c>
      <c r="K119" s="2"/>
      <c r="L119" s="6">
        <v>20</v>
      </c>
      <c r="M119" s="6">
        <v>9</v>
      </c>
    </row>
    <row r="120" spans="1:13" ht="18.75" customHeight="1">
      <c r="A120" s="6" t="str">
        <f>"10522018022612233181788"</f>
        <v>10522018022612233181788</v>
      </c>
      <c r="B120" s="4">
        <v>118</v>
      </c>
      <c r="C120" s="1" t="s">
        <v>14</v>
      </c>
      <c r="D120" s="2" t="str">
        <f t="shared" si="8"/>
        <v>女</v>
      </c>
      <c r="E120" s="2" t="str">
        <f>"341621199701055122"</f>
        <v>341621199701055122</v>
      </c>
      <c r="F120" s="3" t="str">
        <f t="shared" si="9"/>
        <v>护理</v>
      </c>
      <c r="G120" s="2" t="str">
        <f>"2018011717"</f>
        <v>2018011717</v>
      </c>
      <c r="H120" s="2">
        <v>65</v>
      </c>
      <c r="I120" s="2">
        <v>98</v>
      </c>
      <c r="J120" s="2">
        <f t="shared" si="3"/>
        <v>88.1</v>
      </c>
      <c r="K120" s="2"/>
      <c r="L120" s="6">
        <v>17</v>
      </c>
      <c r="M120" s="6">
        <v>17</v>
      </c>
    </row>
    <row r="121" spans="1:13" ht="18.75" customHeight="1">
      <c r="A121" s="6" t="str">
        <f>"10522018022619002582023"</f>
        <v>10522018022619002582023</v>
      </c>
      <c r="B121" s="4">
        <v>119</v>
      </c>
      <c r="C121" s="1" t="s">
        <v>14</v>
      </c>
      <c r="D121" s="2" t="str">
        <f t="shared" si="8"/>
        <v>女</v>
      </c>
      <c r="E121" s="2" t="str">
        <f>"341621199408041725"</f>
        <v>341621199408041725</v>
      </c>
      <c r="F121" s="3" t="str">
        <f t="shared" si="9"/>
        <v>护理</v>
      </c>
      <c r="G121" s="2" t="str">
        <f>"2018011516"</f>
        <v>2018011516</v>
      </c>
      <c r="H121" s="2">
        <v>46.5</v>
      </c>
      <c r="I121" s="2">
        <v>105</v>
      </c>
      <c r="J121" s="2">
        <f t="shared" si="3"/>
        <v>87.45</v>
      </c>
      <c r="K121" s="2"/>
      <c r="L121" s="6">
        <v>15</v>
      </c>
      <c r="M121" s="6">
        <v>16</v>
      </c>
    </row>
    <row r="122" spans="1:13" ht="18.75" customHeight="1">
      <c r="A122" s="6" t="str">
        <f>"10522018022613112081831"</f>
        <v>10522018022613112081831</v>
      </c>
      <c r="B122" s="4">
        <v>120</v>
      </c>
      <c r="C122" s="1" t="s">
        <v>14</v>
      </c>
      <c r="D122" s="2" t="str">
        <f t="shared" si="8"/>
        <v>女</v>
      </c>
      <c r="E122" s="2" t="str">
        <f>"342423199901085687"</f>
        <v>342423199901085687</v>
      </c>
      <c r="F122" s="3" t="str">
        <f t="shared" si="9"/>
        <v>护理</v>
      </c>
      <c r="G122" s="2" t="str">
        <f>"2018011029"</f>
        <v>2018011029</v>
      </c>
      <c r="H122" s="2">
        <v>47</v>
      </c>
      <c r="I122" s="2">
        <v>104</v>
      </c>
      <c r="J122" s="2">
        <f t="shared" si="3"/>
        <v>86.899999999999991</v>
      </c>
      <c r="K122" s="2"/>
      <c r="L122" s="6">
        <v>10</v>
      </c>
      <c r="M122" s="6">
        <v>29</v>
      </c>
    </row>
    <row r="123" spans="1:13" ht="18.75" customHeight="1">
      <c r="A123" s="6" t="str">
        <f>"10522018022811161382539"</f>
        <v>10522018022811161382539</v>
      </c>
      <c r="B123" s="4">
        <v>121</v>
      </c>
      <c r="C123" s="1" t="s">
        <v>14</v>
      </c>
      <c r="D123" s="2" t="str">
        <f t="shared" si="8"/>
        <v>女</v>
      </c>
      <c r="E123" s="2" t="str">
        <f>"341623199811018325"</f>
        <v>341623199811018325</v>
      </c>
      <c r="F123" s="3" t="str">
        <f t="shared" si="9"/>
        <v>护理</v>
      </c>
      <c r="G123" s="2" t="str">
        <f>"2018011622"</f>
        <v>2018011622</v>
      </c>
      <c r="H123" s="2">
        <v>47</v>
      </c>
      <c r="I123" s="2">
        <v>104</v>
      </c>
      <c r="J123" s="2">
        <f t="shared" si="3"/>
        <v>86.899999999999991</v>
      </c>
      <c r="K123" s="2"/>
      <c r="L123" s="6">
        <v>16</v>
      </c>
      <c r="M123" s="6">
        <v>22</v>
      </c>
    </row>
    <row r="124" spans="1:13" ht="18.75" customHeight="1">
      <c r="A124" s="6" t="str">
        <f>"10522018022717112282313"</f>
        <v>10522018022717112282313</v>
      </c>
      <c r="B124" s="4">
        <v>122</v>
      </c>
      <c r="C124" s="1" t="s">
        <v>14</v>
      </c>
      <c r="D124" s="2" t="str">
        <f t="shared" si="8"/>
        <v>女</v>
      </c>
      <c r="E124" s="2" t="str">
        <f>"341621199311090520"</f>
        <v>341621199311090520</v>
      </c>
      <c r="F124" s="3" t="str">
        <f t="shared" si="9"/>
        <v>护理</v>
      </c>
      <c r="G124" s="2" t="str">
        <f>"2018012102"</f>
        <v>2018012102</v>
      </c>
      <c r="H124" s="2">
        <v>54</v>
      </c>
      <c r="I124" s="2">
        <v>101</v>
      </c>
      <c r="J124" s="2">
        <f t="shared" si="3"/>
        <v>86.899999999999991</v>
      </c>
      <c r="K124" s="2"/>
      <c r="L124" s="6">
        <v>21</v>
      </c>
      <c r="M124" s="6">
        <v>2</v>
      </c>
    </row>
    <row r="125" spans="1:13" ht="18.75" customHeight="1">
      <c r="A125" s="6" t="str">
        <f>"10522018022613381481853"</f>
        <v>10522018022613381481853</v>
      </c>
      <c r="B125" s="4">
        <v>123</v>
      </c>
      <c r="C125" s="1" t="s">
        <v>14</v>
      </c>
      <c r="D125" s="2" t="str">
        <f t="shared" si="8"/>
        <v>女</v>
      </c>
      <c r="E125" s="2" t="str">
        <f>"34162319950808264X"</f>
        <v>34162319950808264X</v>
      </c>
      <c r="F125" s="3" t="str">
        <f t="shared" si="9"/>
        <v>护理</v>
      </c>
      <c r="G125" s="2" t="str">
        <f>"2018011829"</f>
        <v>2018011829</v>
      </c>
      <c r="H125" s="2">
        <v>53</v>
      </c>
      <c r="I125" s="2">
        <v>101</v>
      </c>
      <c r="J125" s="2">
        <f t="shared" si="3"/>
        <v>86.6</v>
      </c>
      <c r="K125" s="2"/>
      <c r="L125" s="6">
        <v>18</v>
      </c>
      <c r="M125" s="6">
        <v>29</v>
      </c>
    </row>
    <row r="126" spans="1:13" ht="18.75" customHeight="1">
      <c r="A126" s="6" t="str">
        <f>"10522018022710345082179"</f>
        <v>10522018022710345082179</v>
      </c>
      <c r="B126" s="4">
        <v>124</v>
      </c>
      <c r="C126" s="1" t="s">
        <v>14</v>
      </c>
      <c r="D126" s="2" t="str">
        <f t="shared" si="8"/>
        <v>女</v>
      </c>
      <c r="E126" s="2" t="str">
        <f>"341223199504103325"</f>
        <v>341223199504103325</v>
      </c>
      <c r="F126" s="3" t="str">
        <f t="shared" si="9"/>
        <v>护理</v>
      </c>
      <c r="G126" s="2" t="str">
        <f>"2018011502"</f>
        <v>2018011502</v>
      </c>
      <c r="H126" s="2">
        <v>55</v>
      </c>
      <c r="I126" s="2">
        <v>100</v>
      </c>
      <c r="J126" s="2">
        <f t="shared" si="3"/>
        <v>86.5</v>
      </c>
      <c r="K126" s="2"/>
      <c r="L126" s="6">
        <v>15</v>
      </c>
      <c r="M126" s="6">
        <v>2</v>
      </c>
    </row>
    <row r="127" spans="1:13" ht="18.75" customHeight="1">
      <c r="A127" s="6" t="str">
        <f>"10522018022718571982348"</f>
        <v>10522018022718571982348</v>
      </c>
      <c r="B127" s="4">
        <v>125</v>
      </c>
      <c r="C127" s="1" t="s">
        <v>14</v>
      </c>
      <c r="D127" s="2" t="str">
        <f t="shared" si="8"/>
        <v>女</v>
      </c>
      <c r="E127" s="2" t="str">
        <f>"341221199707172029"</f>
        <v>341221199707172029</v>
      </c>
      <c r="F127" s="3" t="str">
        <f t="shared" si="9"/>
        <v>护理</v>
      </c>
      <c r="G127" s="2" t="str">
        <f>"2018010928"</f>
        <v>2018010928</v>
      </c>
      <c r="H127" s="2">
        <v>52.5</v>
      </c>
      <c r="I127" s="2">
        <v>101</v>
      </c>
      <c r="J127" s="2">
        <f t="shared" si="3"/>
        <v>86.449999999999989</v>
      </c>
      <c r="K127" s="2"/>
      <c r="L127" s="6">
        <v>9</v>
      </c>
      <c r="M127" s="6">
        <v>28</v>
      </c>
    </row>
    <row r="128" spans="1:13" ht="18.75" customHeight="1">
      <c r="A128" s="6" t="str">
        <f>"10522018022615545281935"</f>
        <v>10522018022615545281935</v>
      </c>
      <c r="B128" s="4">
        <v>126</v>
      </c>
      <c r="C128" s="1" t="s">
        <v>14</v>
      </c>
      <c r="D128" s="2" t="str">
        <f t="shared" si="8"/>
        <v>女</v>
      </c>
      <c r="E128" s="2" t="str">
        <f>"341227199705200442"</f>
        <v>341227199705200442</v>
      </c>
      <c r="F128" s="3" t="str">
        <f t="shared" si="9"/>
        <v>护理</v>
      </c>
      <c r="G128" s="2" t="str">
        <f>"2018011727"</f>
        <v>2018011727</v>
      </c>
      <c r="H128" s="2">
        <v>40</v>
      </c>
      <c r="I128" s="2">
        <v>106</v>
      </c>
      <c r="J128" s="2">
        <f t="shared" si="3"/>
        <v>86.199999999999989</v>
      </c>
      <c r="K128" s="2"/>
      <c r="L128" s="6">
        <v>17</v>
      </c>
      <c r="M128" s="6">
        <v>27</v>
      </c>
    </row>
    <row r="129" spans="1:13" ht="18.75" customHeight="1">
      <c r="A129" s="6" t="str">
        <f>"10522018022712175482217"</f>
        <v>10522018022712175482217</v>
      </c>
      <c r="B129" s="4">
        <v>127</v>
      </c>
      <c r="C129" s="1" t="s">
        <v>14</v>
      </c>
      <c r="D129" s="2" t="str">
        <f t="shared" si="8"/>
        <v>女</v>
      </c>
      <c r="E129" s="2" t="str">
        <f>"341223199501111928"</f>
        <v>341223199501111928</v>
      </c>
      <c r="F129" s="3" t="str">
        <f t="shared" si="9"/>
        <v>护理</v>
      </c>
      <c r="G129" s="2" t="str">
        <f>"2018011311"</f>
        <v>2018011311</v>
      </c>
      <c r="H129" s="2">
        <v>53</v>
      </c>
      <c r="I129" s="2">
        <v>100</v>
      </c>
      <c r="J129" s="2">
        <f t="shared" si="3"/>
        <v>85.9</v>
      </c>
      <c r="K129" s="2"/>
      <c r="L129" s="6">
        <v>13</v>
      </c>
      <c r="M129" s="6">
        <v>11</v>
      </c>
    </row>
    <row r="130" spans="1:13" ht="18.75" customHeight="1">
      <c r="A130" s="6" t="str">
        <f>"10522018030118251682989"</f>
        <v>10522018030118251682989</v>
      </c>
      <c r="B130" s="4">
        <v>128</v>
      </c>
      <c r="C130" s="1" t="s">
        <v>14</v>
      </c>
      <c r="D130" s="2" t="str">
        <f t="shared" si="8"/>
        <v>女</v>
      </c>
      <c r="E130" s="2" t="str">
        <f>"341227199702080027"</f>
        <v>341227199702080027</v>
      </c>
      <c r="F130" s="3" t="str">
        <f t="shared" si="9"/>
        <v>护理</v>
      </c>
      <c r="G130" s="2" t="str">
        <f>"2018012115"</f>
        <v>2018012115</v>
      </c>
      <c r="H130" s="2">
        <v>53</v>
      </c>
      <c r="I130" s="2">
        <v>100</v>
      </c>
      <c r="J130" s="2">
        <f t="shared" si="3"/>
        <v>85.9</v>
      </c>
      <c r="K130" s="2"/>
      <c r="L130" s="6">
        <v>21</v>
      </c>
      <c r="M130" s="6">
        <v>15</v>
      </c>
    </row>
    <row r="131" spans="1:13" ht="18.75" customHeight="1">
      <c r="A131" s="6" t="str">
        <f>"10522018022720371882401"</f>
        <v>10522018022720371882401</v>
      </c>
      <c r="B131" s="4">
        <v>129</v>
      </c>
      <c r="C131" s="1" t="s">
        <v>14</v>
      </c>
      <c r="D131" s="2" t="str">
        <f t="shared" si="8"/>
        <v>女</v>
      </c>
      <c r="E131" s="2" t="str">
        <f>"341281199310249004"</f>
        <v>341281199310249004</v>
      </c>
      <c r="F131" s="3" t="str">
        <f t="shared" si="9"/>
        <v>护理</v>
      </c>
      <c r="G131" s="2" t="str">
        <f>"2018010804"</f>
        <v>2018010804</v>
      </c>
      <c r="H131" s="2">
        <v>45</v>
      </c>
      <c r="I131" s="2">
        <v>103</v>
      </c>
      <c r="J131" s="2">
        <f t="shared" ref="J131:J194" si="10">H131*0.3+I131*0.7</f>
        <v>85.6</v>
      </c>
      <c r="K131" s="2"/>
      <c r="L131" s="6">
        <v>8</v>
      </c>
      <c r="M131" s="6">
        <v>4</v>
      </c>
    </row>
    <row r="132" spans="1:13" ht="18.75" customHeight="1">
      <c r="A132" s="6" t="str">
        <f>"10522018022712171482216"</f>
        <v>10522018022712171482216</v>
      </c>
      <c r="B132" s="4">
        <v>130</v>
      </c>
      <c r="C132" s="1" t="s">
        <v>14</v>
      </c>
      <c r="D132" s="2" t="str">
        <f t="shared" si="8"/>
        <v>女</v>
      </c>
      <c r="E132" s="2" t="str">
        <f>"341202199403053160"</f>
        <v>341202199403053160</v>
      </c>
      <c r="F132" s="3" t="str">
        <f t="shared" si="9"/>
        <v>护理</v>
      </c>
      <c r="G132" s="2" t="str">
        <f>"2018011813"</f>
        <v>2018011813</v>
      </c>
      <c r="H132" s="2">
        <v>51.5</v>
      </c>
      <c r="I132" s="2">
        <v>100</v>
      </c>
      <c r="J132" s="2">
        <f t="shared" si="10"/>
        <v>85.45</v>
      </c>
      <c r="K132" s="2"/>
      <c r="L132" s="6">
        <v>18</v>
      </c>
      <c r="M132" s="6">
        <v>13</v>
      </c>
    </row>
    <row r="133" spans="1:13" ht="18.75" customHeight="1">
      <c r="A133" s="6" t="str">
        <f>"10522018022612560881819"</f>
        <v>10522018022612560881819</v>
      </c>
      <c r="B133" s="4">
        <v>131</v>
      </c>
      <c r="C133" s="1" t="s">
        <v>14</v>
      </c>
      <c r="D133" s="2" t="str">
        <f t="shared" si="8"/>
        <v>女</v>
      </c>
      <c r="E133" s="2" t="str">
        <f>"34122319950406432X"</f>
        <v>34122319950406432X</v>
      </c>
      <c r="F133" s="3" t="str">
        <f t="shared" si="9"/>
        <v>护理</v>
      </c>
      <c r="G133" s="2" t="str">
        <f>"2018011529"</f>
        <v>2018011529</v>
      </c>
      <c r="H133" s="2">
        <v>63</v>
      </c>
      <c r="I133" s="2">
        <v>95</v>
      </c>
      <c r="J133" s="2">
        <f t="shared" si="10"/>
        <v>85.4</v>
      </c>
      <c r="K133" s="2"/>
      <c r="L133" s="6">
        <v>15</v>
      </c>
      <c r="M133" s="6">
        <v>29</v>
      </c>
    </row>
    <row r="134" spans="1:13" ht="18.75" customHeight="1">
      <c r="A134" s="6" t="str">
        <f>"10522018022810421682519"</f>
        <v>10522018022810421682519</v>
      </c>
      <c r="B134" s="4">
        <v>132</v>
      </c>
      <c r="C134" s="1" t="s">
        <v>14</v>
      </c>
      <c r="D134" s="2" t="str">
        <f t="shared" si="8"/>
        <v>女</v>
      </c>
      <c r="E134" s="2" t="str">
        <f>"341622199506254923"</f>
        <v>341622199506254923</v>
      </c>
      <c r="F134" s="3" t="str">
        <f t="shared" si="9"/>
        <v>护理</v>
      </c>
      <c r="G134" s="2" t="str">
        <f>"2018011425"</f>
        <v>2018011425</v>
      </c>
      <c r="H134" s="2">
        <v>60</v>
      </c>
      <c r="I134" s="2">
        <v>96</v>
      </c>
      <c r="J134" s="2">
        <f t="shared" si="10"/>
        <v>85.199999999999989</v>
      </c>
      <c r="K134" s="2"/>
      <c r="L134" s="6">
        <v>14</v>
      </c>
      <c r="M134" s="6">
        <v>25</v>
      </c>
    </row>
    <row r="135" spans="1:13" ht="18.75" customHeight="1">
      <c r="A135" s="6" t="str">
        <f>"10522018022614102281870"</f>
        <v>10522018022614102281870</v>
      </c>
      <c r="B135" s="4">
        <v>133</v>
      </c>
      <c r="C135" s="1" t="s">
        <v>14</v>
      </c>
      <c r="D135" s="2" t="str">
        <f t="shared" si="8"/>
        <v>女</v>
      </c>
      <c r="E135" s="2" t="str">
        <f>"341227199607287628"</f>
        <v>341227199607287628</v>
      </c>
      <c r="F135" s="3" t="str">
        <f t="shared" si="9"/>
        <v>护理</v>
      </c>
      <c r="G135" s="2" t="str">
        <f>"2018012027"</f>
        <v>2018012027</v>
      </c>
      <c r="H135" s="2">
        <v>31.5</v>
      </c>
      <c r="I135" s="2">
        <v>108</v>
      </c>
      <c r="J135" s="2">
        <f t="shared" si="10"/>
        <v>85.05</v>
      </c>
      <c r="K135" s="2"/>
      <c r="L135" s="6">
        <v>20</v>
      </c>
      <c r="M135" s="6">
        <v>27</v>
      </c>
    </row>
    <row r="136" spans="1:13" ht="18.75" customHeight="1">
      <c r="A136" s="6" t="str">
        <f>"10522018022621501482098"</f>
        <v>10522018022621501482098</v>
      </c>
      <c r="B136" s="4">
        <v>134</v>
      </c>
      <c r="C136" s="1" t="s">
        <v>14</v>
      </c>
      <c r="D136" s="2" t="str">
        <f t="shared" si="8"/>
        <v>女</v>
      </c>
      <c r="E136" s="2" t="str">
        <f>"341281199608035842"</f>
        <v>341281199608035842</v>
      </c>
      <c r="F136" s="3" t="str">
        <f t="shared" si="9"/>
        <v>护理</v>
      </c>
      <c r="G136" s="2" t="str">
        <f>"2018010828"</f>
        <v>2018010828</v>
      </c>
      <c r="H136" s="2">
        <v>54.5</v>
      </c>
      <c r="I136" s="2">
        <v>98</v>
      </c>
      <c r="J136" s="2">
        <f t="shared" si="10"/>
        <v>84.949999999999989</v>
      </c>
      <c r="K136" s="2"/>
      <c r="L136" s="6">
        <v>8</v>
      </c>
      <c r="M136" s="6">
        <v>28</v>
      </c>
    </row>
    <row r="137" spans="1:13" ht="18.75" customHeight="1">
      <c r="A137" s="6" t="str">
        <f>"10522018022610485581711"</f>
        <v>10522018022610485581711</v>
      </c>
      <c r="B137" s="4">
        <v>135</v>
      </c>
      <c r="C137" s="1" t="s">
        <v>14</v>
      </c>
      <c r="D137" s="2" t="str">
        <f t="shared" si="8"/>
        <v>女</v>
      </c>
      <c r="E137" s="2" t="str">
        <f>"34162119941012022X"</f>
        <v>34162119941012022X</v>
      </c>
      <c r="F137" s="3" t="str">
        <f t="shared" si="9"/>
        <v>护理</v>
      </c>
      <c r="G137" s="2" t="str">
        <f>"2018010825"</f>
        <v>2018010825</v>
      </c>
      <c r="H137" s="2">
        <v>49.5</v>
      </c>
      <c r="I137" s="2">
        <v>100</v>
      </c>
      <c r="J137" s="2">
        <f t="shared" si="10"/>
        <v>84.85</v>
      </c>
      <c r="K137" s="2"/>
      <c r="L137" s="6">
        <v>8</v>
      </c>
      <c r="M137" s="6">
        <v>25</v>
      </c>
    </row>
    <row r="138" spans="1:13" ht="18.75" customHeight="1">
      <c r="A138" s="6" t="str">
        <f>"10522018022612244481790"</f>
        <v>10522018022612244481790</v>
      </c>
      <c r="B138" s="4">
        <v>136</v>
      </c>
      <c r="C138" s="1" t="s">
        <v>14</v>
      </c>
      <c r="D138" s="2" t="str">
        <f t="shared" si="8"/>
        <v>女</v>
      </c>
      <c r="E138" s="2" t="str">
        <f>"341621199307094529"</f>
        <v>341621199307094529</v>
      </c>
      <c r="F138" s="3" t="str">
        <f t="shared" si="9"/>
        <v>护理</v>
      </c>
      <c r="G138" s="2" t="str">
        <f>"2018011806"</f>
        <v>2018011806</v>
      </c>
      <c r="H138" s="2">
        <v>49.5</v>
      </c>
      <c r="I138" s="2">
        <v>100</v>
      </c>
      <c r="J138" s="2">
        <f t="shared" si="10"/>
        <v>84.85</v>
      </c>
      <c r="K138" s="2"/>
      <c r="L138" s="6">
        <v>18</v>
      </c>
      <c r="M138" s="6">
        <v>6</v>
      </c>
    </row>
    <row r="139" spans="1:13" ht="18.75" customHeight="1">
      <c r="A139" s="6" t="str">
        <f>"10522018022614064181867"</f>
        <v>10522018022614064181867</v>
      </c>
      <c r="B139" s="4">
        <v>137</v>
      </c>
      <c r="C139" s="1" t="s">
        <v>14</v>
      </c>
      <c r="D139" s="2" t="str">
        <f t="shared" si="8"/>
        <v>女</v>
      </c>
      <c r="E139" s="2" t="str">
        <f>"341623199412142329"</f>
        <v>341623199412142329</v>
      </c>
      <c r="F139" s="3" t="str">
        <f t="shared" si="9"/>
        <v>护理</v>
      </c>
      <c r="G139" s="2" t="str">
        <f>"2018011902"</f>
        <v>2018011902</v>
      </c>
      <c r="H139" s="2">
        <v>36</v>
      </c>
      <c r="I139" s="2">
        <v>105</v>
      </c>
      <c r="J139" s="2">
        <f t="shared" si="10"/>
        <v>84.3</v>
      </c>
      <c r="K139" s="2"/>
      <c r="L139" s="6">
        <v>19</v>
      </c>
      <c r="M139" s="6">
        <v>2</v>
      </c>
    </row>
    <row r="140" spans="1:13" ht="18.75" customHeight="1">
      <c r="A140" s="6" t="str">
        <f>"10522018022721582282435"</f>
        <v>10522018022721582282435</v>
      </c>
      <c r="B140" s="4">
        <v>138</v>
      </c>
      <c r="C140" s="1" t="s">
        <v>14</v>
      </c>
      <c r="D140" s="2" t="str">
        <f t="shared" si="8"/>
        <v>女</v>
      </c>
      <c r="E140" s="2" t="str">
        <f>"341227199303126729"</f>
        <v>341227199303126729</v>
      </c>
      <c r="F140" s="3" t="str">
        <f t="shared" si="9"/>
        <v>护理</v>
      </c>
      <c r="G140" s="2" t="str">
        <f>"2018011527"</f>
        <v>2018011527</v>
      </c>
      <c r="H140" s="2">
        <v>47.5</v>
      </c>
      <c r="I140" s="2">
        <v>100</v>
      </c>
      <c r="J140" s="2">
        <f t="shared" si="10"/>
        <v>84.25</v>
      </c>
      <c r="K140" s="2"/>
      <c r="L140" s="6">
        <v>15</v>
      </c>
      <c r="M140" s="6">
        <v>27</v>
      </c>
    </row>
    <row r="141" spans="1:13" ht="18.75" customHeight="1">
      <c r="A141" s="6" t="str">
        <f>"10522018022618413082019"</f>
        <v>10522018022618413082019</v>
      </c>
      <c r="B141" s="4">
        <v>139</v>
      </c>
      <c r="C141" s="1" t="s">
        <v>14</v>
      </c>
      <c r="D141" s="2" t="str">
        <f t="shared" si="8"/>
        <v>女</v>
      </c>
      <c r="E141" s="2" t="str">
        <f>"341223199408081744"</f>
        <v>341223199408081744</v>
      </c>
      <c r="F141" s="3" t="str">
        <f t="shared" si="9"/>
        <v>护理</v>
      </c>
      <c r="G141" s="2" t="str">
        <f>"2018010811"</f>
        <v>2018010811</v>
      </c>
      <c r="H141" s="2">
        <v>52</v>
      </c>
      <c r="I141" s="2">
        <v>98</v>
      </c>
      <c r="J141" s="2">
        <f t="shared" si="10"/>
        <v>84.199999999999989</v>
      </c>
      <c r="K141" s="2"/>
      <c r="L141" s="6">
        <v>8</v>
      </c>
      <c r="M141" s="6">
        <v>11</v>
      </c>
    </row>
    <row r="142" spans="1:13" ht="18.75" customHeight="1">
      <c r="A142" s="6" t="str">
        <f>"10522018022615541481933"</f>
        <v>10522018022615541481933</v>
      </c>
      <c r="B142" s="4">
        <v>140</v>
      </c>
      <c r="C142" s="1" t="s">
        <v>14</v>
      </c>
      <c r="D142" s="2" t="str">
        <f t="shared" si="8"/>
        <v>女</v>
      </c>
      <c r="E142" s="2" t="str">
        <f>"341227199402182347"</f>
        <v>341227199402182347</v>
      </c>
      <c r="F142" s="3" t="str">
        <f t="shared" si="9"/>
        <v>护理</v>
      </c>
      <c r="G142" s="2" t="str">
        <f>"2018011801"</f>
        <v>2018011801</v>
      </c>
      <c r="H142" s="2">
        <v>44.5</v>
      </c>
      <c r="I142" s="2">
        <v>101</v>
      </c>
      <c r="J142" s="2">
        <f t="shared" si="10"/>
        <v>84.049999999999983</v>
      </c>
      <c r="K142" s="2"/>
      <c r="L142" s="6">
        <v>18</v>
      </c>
      <c r="M142" s="6">
        <v>1</v>
      </c>
    </row>
    <row r="143" spans="1:13" ht="18.75" customHeight="1">
      <c r="A143" s="6" t="str">
        <f>"10522018022610420281699"</f>
        <v>10522018022610420281699</v>
      </c>
      <c r="B143" s="4">
        <v>141</v>
      </c>
      <c r="C143" s="1" t="s">
        <v>14</v>
      </c>
      <c r="D143" s="2" t="str">
        <f t="shared" ref="D143:D174" si="11">"女"</f>
        <v>女</v>
      </c>
      <c r="E143" s="2" t="str">
        <f>"341621199802145522"</f>
        <v>341621199802145522</v>
      </c>
      <c r="F143" s="3" t="str">
        <f t="shared" si="9"/>
        <v>护理</v>
      </c>
      <c r="G143" s="2" t="str">
        <f>"2018010621"</f>
        <v>2018010621</v>
      </c>
      <c r="H143" s="2">
        <v>49</v>
      </c>
      <c r="I143" s="2">
        <v>99</v>
      </c>
      <c r="J143" s="2">
        <f t="shared" si="10"/>
        <v>84</v>
      </c>
      <c r="K143" s="2"/>
      <c r="L143" s="6">
        <v>6</v>
      </c>
      <c r="M143" s="6">
        <v>21</v>
      </c>
    </row>
    <row r="144" spans="1:13" ht="18.75" customHeight="1">
      <c r="A144" s="6" t="str">
        <f>"10522018022816112782647"</f>
        <v>10522018022816112782647</v>
      </c>
      <c r="B144" s="4">
        <v>142</v>
      </c>
      <c r="C144" s="1" t="s">
        <v>14</v>
      </c>
      <c r="D144" s="2" t="str">
        <f t="shared" si="11"/>
        <v>女</v>
      </c>
      <c r="E144" s="2" t="str">
        <f>"341227199505150022"</f>
        <v>341227199505150022</v>
      </c>
      <c r="F144" s="3" t="str">
        <f t="shared" si="9"/>
        <v>护理</v>
      </c>
      <c r="G144" s="2" t="str">
        <f>"2018011815"</f>
        <v>2018011815</v>
      </c>
      <c r="H144" s="2">
        <v>47.5</v>
      </c>
      <c r="I144" s="2">
        <v>99</v>
      </c>
      <c r="J144" s="2">
        <f t="shared" si="10"/>
        <v>83.55</v>
      </c>
      <c r="K144" s="2"/>
      <c r="L144" s="6">
        <v>18</v>
      </c>
      <c r="M144" s="6">
        <v>15</v>
      </c>
    </row>
    <row r="145" spans="1:13" ht="18.75" customHeight="1">
      <c r="A145" s="6" t="str">
        <f>"10522018022709250782144"</f>
        <v>10522018022709250782144</v>
      </c>
      <c r="B145" s="4">
        <v>143</v>
      </c>
      <c r="C145" s="1" t="s">
        <v>14</v>
      </c>
      <c r="D145" s="2" t="str">
        <f t="shared" si="11"/>
        <v>女</v>
      </c>
      <c r="E145" s="2" t="str">
        <f>"341223199510270226"</f>
        <v>341223199510270226</v>
      </c>
      <c r="F145" s="3" t="str">
        <f t="shared" si="9"/>
        <v>护理</v>
      </c>
      <c r="G145" s="2" t="str">
        <f>"2018011720"</f>
        <v>2018011720</v>
      </c>
      <c r="H145" s="2">
        <v>68</v>
      </c>
      <c r="I145" s="2">
        <v>90</v>
      </c>
      <c r="J145" s="2">
        <f t="shared" si="10"/>
        <v>83.399999999999991</v>
      </c>
      <c r="K145" s="2"/>
      <c r="L145" s="6">
        <v>17</v>
      </c>
      <c r="M145" s="6">
        <v>20</v>
      </c>
    </row>
    <row r="146" spans="1:13" ht="18.75" customHeight="1">
      <c r="A146" s="6" t="str">
        <f>"10522018022612555981818"</f>
        <v>10522018022612555981818</v>
      </c>
      <c r="B146" s="4">
        <v>144</v>
      </c>
      <c r="C146" s="1" t="s">
        <v>14</v>
      </c>
      <c r="D146" s="2" t="str">
        <f t="shared" si="11"/>
        <v>女</v>
      </c>
      <c r="E146" s="2" t="str">
        <f>"34122719980818342X"</f>
        <v>34122719980818342X</v>
      </c>
      <c r="F146" s="3" t="str">
        <f t="shared" si="9"/>
        <v>护理</v>
      </c>
      <c r="G146" s="2" t="str">
        <f>"2018012017"</f>
        <v>2018012017</v>
      </c>
      <c r="H146" s="2">
        <v>42</v>
      </c>
      <c r="I146" s="2">
        <v>101</v>
      </c>
      <c r="J146" s="2">
        <f t="shared" si="10"/>
        <v>83.299999999999983</v>
      </c>
      <c r="K146" s="2"/>
      <c r="L146" s="6">
        <v>20</v>
      </c>
      <c r="M146" s="6">
        <v>17</v>
      </c>
    </row>
    <row r="147" spans="1:13" ht="18.75" customHeight="1">
      <c r="A147" s="6" t="str">
        <f>"10522018022614312981882"</f>
        <v>10522018022614312981882</v>
      </c>
      <c r="B147" s="4">
        <v>145</v>
      </c>
      <c r="C147" s="1" t="s">
        <v>14</v>
      </c>
      <c r="D147" s="2" t="str">
        <f t="shared" si="11"/>
        <v>女</v>
      </c>
      <c r="E147" s="2" t="str">
        <f>"341621199611121544"</f>
        <v>341621199611121544</v>
      </c>
      <c r="F147" s="3" t="str">
        <f t="shared" si="9"/>
        <v>护理</v>
      </c>
      <c r="G147" s="2" t="str">
        <f>"2018011916"</f>
        <v>2018011916</v>
      </c>
      <c r="H147" s="2">
        <v>53.5</v>
      </c>
      <c r="I147" s="2">
        <v>96</v>
      </c>
      <c r="J147" s="2">
        <f t="shared" si="10"/>
        <v>83.249999999999986</v>
      </c>
      <c r="K147" s="2"/>
      <c r="L147" s="6">
        <v>19</v>
      </c>
      <c r="M147" s="6">
        <v>16</v>
      </c>
    </row>
    <row r="148" spans="1:13" ht="18.75" customHeight="1">
      <c r="A148" s="6" t="str">
        <f>"10522018022713071882228"</f>
        <v>10522018022713071882228</v>
      </c>
      <c r="B148" s="4">
        <v>146</v>
      </c>
      <c r="C148" s="1" t="s">
        <v>14</v>
      </c>
      <c r="D148" s="2" t="str">
        <f t="shared" si="11"/>
        <v>女</v>
      </c>
      <c r="E148" s="2" t="str">
        <f>"341221199611202107"</f>
        <v>341221199611202107</v>
      </c>
      <c r="F148" s="3" t="str">
        <f t="shared" si="9"/>
        <v>护理</v>
      </c>
      <c r="G148" s="2" t="str">
        <f>"2018012122"</f>
        <v>2018012122</v>
      </c>
      <c r="H148" s="2">
        <v>39.5</v>
      </c>
      <c r="I148" s="2">
        <v>102</v>
      </c>
      <c r="J148" s="2">
        <f t="shared" si="10"/>
        <v>83.249999999999986</v>
      </c>
      <c r="K148" s="2"/>
      <c r="L148" s="6">
        <v>21</v>
      </c>
      <c r="M148" s="6">
        <v>22</v>
      </c>
    </row>
    <row r="149" spans="1:13" ht="18.75" customHeight="1">
      <c r="A149" s="6" t="str">
        <f>"10522018022609233681605"</f>
        <v>10522018022609233681605</v>
      </c>
      <c r="B149" s="4">
        <v>147</v>
      </c>
      <c r="C149" s="1" t="s">
        <v>14</v>
      </c>
      <c r="D149" s="2" t="str">
        <f t="shared" si="11"/>
        <v>女</v>
      </c>
      <c r="E149" s="2" t="str">
        <f>"341227199707300025"</f>
        <v>341227199707300025</v>
      </c>
      <c r="F149" s="3" t="str">
        <f t="shared" si="9"/>
        <v>护理</v>
      </c>
      <c r="G149" s="2" t="str">
        <f>"2018010914"</f>
        <v>2018010914</v>
      </c>
      <c r="H149" s="2">
        <v>44</v>
      </c>
      <c r="I149" s="2">
        <v>100</v>
      </c>
      <c r="J149" s="2">
        <f t="shared" si="10"/>
        <v>83.2</v>
      </c>
      <c r="K149" s="2"/>
      <c r="L149" s="6">
        <v>9</v>
      </c>
      <c r="M149" s="6">
        <v>14</v>
      </c>
    </row>
    <row r="150" spans="1:13" ht="18.75" customHeight="1">
      <c r="A150" s="6" t="str">
        <f>"10522018022810281582511"</f>
        <v>10522018022810281582511</v>
      </c>
      <c r="B150" s="4">
        <v>148</v>
      </c>
      <c r="C150" s="1" t="s">
        <v>14</v>
      </c>
      <c r="D150" s="2" t="str">
        <f t="shared" si="11"/>
        <v>女</v>
      </c>
      <c r="E150" s="2" t="str">
        <f>"341621199606193922"</f>
        <v>341621199606193922</v>
      </c>
      <c r="F150" s="3" t="str">
        <f t="shared" si="9"/>
        <v>护理</v>
      </c>
      <c r="G150" s="2" t="str">
        <f>"2018011013"</f>
        <v>2018011013</v>
      </c>
      <c r="H150" s="2">
        <v>53</v>
      </c>
      <c r="I150" s="2">
        <v>96</v>
      </c>
      <c r="J150" s="2">
        <f t="shared" si="10"/>
        <v>83.1</v>
      </c>
      <c r="K150" s="2"/>
      <c r="L150" s="6">
        <v>10</v>
      </c>
      <c r="M150" s="6">
        <v>13</v>
      </c>
    </row>
    <row r="151" spans="1:13" ht="18.75" customHeight="1">
      <c r="A151" s="6" t="str">
        <f>"10522018022610053081648"</f>
        <v>10522018022610053081648</v>
      </c>
      <c r="B151" s="4">
        <v>149</v>
      </c>
      <c r="C151" s="1" t="s">
        <v>14</v>
      </c>
      <c r="D151" s="2" t="str">
        <f t="shared" si="11"/>
        <v>女</v>
      </c>
      <c r="E151" s="2" t="str">
        <f>"341621199311072728"</f>
        <v>341621199311072728</v>
      </c>
      <c r="F151" s="3" t="str">
        <f t="shared" si="9"/>
        <v>护理</v>
      </c>
      <c r="G151" s="2" t="str">
        <f>"2018011330"</f>
        <v>2018011330</v>
      </c>
      <c r="H151" s="2">
        <v>50.5</v>
      </c>
      <c r="I151" s="2">
        <v>97</v>
      </c>
      <c r="J151" s="2">
        <f t="shared" si="10"/>
        <v>83.049999999999983</v>
      </c>
      <c r="K151" s="2"/>
      <c r="L151" s="6">
        <v>13</v>
      </c>
      <c r="M151" s="6">
        <v>30</v>
      </c>
    </row>
    <row r="152" spans="1:13" ht="18.75" customHeight="1">
      <c r="A152" s="6" t="str">
        <f>"10522018030100062482776"</f>
        <v>10522018030100062482776</v>
      </c>
      <c r="B152" s="4">
        <v>150</v>
      </c>
      <c r="C152" s="1" t="s">
        <v>14</v>
      </c>
      <c r="D152" s="2" t="str">
        <f t="shared" si="11"/>
        <v>女</v>
      </c>
      <c r="E152" s="2" t="str">
        <f>"341224199711220221"</f>
        <v>341224199711220221</v>
      </c>
      <c r="F152" s="3" t="str">
        <f t="shared" si="9"/>
        <v>护理</v>
      </c>
      <c r="G152" s="2" t="str">
        <f>"2018011614"</f>
        <v>2018011614</v>
      </c>
      <c r="H152" s="2">
        <v>52.5</v>
      </c>
      <c r="I152" s="2">
        <v>96</v>
      </c>
      <c r="J152" s="2">
        <f t="shared" si="10"/>
        <v>82.949999999999989</v>
      </c>
      <c r="K152" s="2"/>
      <c r="L152" s="6">
        <v>16</v>
      </c>
      <c r="M152" s="6">
        <v>14</v>
      </c>
    </row>
    <row r="153" spans="1:13" ht="18.75" customHeight="1">
      <c r="A153" s="6" t="str">
        <f>"10522018022813515082603"</f>
        <v>10522018022813515082603</v>
      </c>
      <c r="B153" s="4">
        <v>151</v>
      </c>
      <c r="C153" s="1" t="s">
        <v>14</v>
      </c>
      <c r="D153" s="2" t="str">
        <f t="shared" si="11"/>
        <v>女</v>
      </c>
      <c r="E153" s="2" t="str">
        <f>"341223199707270027"</f>
        <v>341223199707270027</v>
      </c>
      <c r="F153" s="3" t="str">
        <f t="shared" si="9"/>
        <v>护理</v>
      </c>
      <c r="G153" s="2" t="str">
        <f>"2018011024"</f>
        <v>2018011024</v>
      </c>
      <c r="H153" s="2">
        <v>45</v>
      </c>
      <c r="I153" s="2">
        <v>99</v>
      </c>
      <c r="J153" s="2">
        <f t="shared" si="10"/>
        <v>82.8</v>
      </c>
      <c r="K153" s="2"/>
      <c r="L153" s="6">
        <v>10</v>
      </c>
      <c r="M153" s="6">
        <v>24</v>
      </c>
    </row>
    <row r="154" spans="1:13" ht="18.75" customHeight="1">
      <c r="A154" s="6" t="str">
        <f>"10522018022621485782096"</f>
        <v>10522018022621485782096</v>
      </c>
      <c r="B154" s="4">
        <v>152</v>
      </c>
      <c r="C154" s="1" t="s">
        <v>14</v>
      </c>
      <c r="D154" s="2" t="str">
        <f t="shared" si="11"/>
        <v>女</v>
      </c>
      <c r="E154" s="2" t="str">
        <f>"341224199708163027"</f>
        <v>341224199708163027</v>
      </c>
      <c r="F154" s="3" t="str">
        <f>"护理专业"</f>
        <v>护理专业</v>
      </c>
      <c r="G154" s="2" t="str">
        <f>"2018011704"</f>
        <v>2018011704</v>
      </c>
      <c r="H154" s="2">
        <v>49.5</v>
      </c>
      <c r="I154" s="2">
        <v>97</v>
      </c>
      <c r="J154" s="2">
        <f t="shared" si="10"/>
        <v>82.749999999999986</v>
      </c>
      <c r="K154" s="2"/>
      <c r="L154" s="6">
        <v>17</v>
      </c>
      <c r="M154" s="6">
        <v>4</v>
      </c>
    </row>
    <row r="155" spans="1:13" ht="18.75" customHeight="1">
      <c r="A155" s="6" t="str">
        <f>"10522018022815414782636"</f>
        <v>10522018022815414782636</v>
      </c>
      <c r="B155" s="4">
        <v>153</v>
      </c>
      <c r="C155" s="1" t="s">
        <v>14</v>
      </c>
      <c r="D155" s="2" t="str">
        <f t="shared" si="11"/>
        <v>女</v>
      </c>
      <c r="E155" s="2" t="str">
        <f>"341623199812042626"</f>
        <v>341623199812042626</v>
      </c>
      <c r="F155" s="3" t="str">
        <f t="shared" ref="F155:F161" si="12">"护理"</f>
        <v>护理</v>
      </c>
      <c r="G155" s="2" t="str">
        <f>"2018011503"</f>
        <v>2018011503</v>
      </c>
      <c r="H155" s="2">
        <v>44.5</v>
      </c>
      <c r="I155" s="2">
        <v>99</v>
      </c>
      <c r="J155" s="2">
        <f t="shared" si="10"/>
        <v>82.649999999999991</v>
      </c>
      <c r="K155" s="2"/>
      <c r="L155" s="6">
        <v>15</v>
      </c>
      <c r="M155" s="6">
        <v>3</v>
      </c>
    </row>
    <row r="156" spans="1:13" ht="18.75" customHeight="1">
      <c r="A156" s="6" t="str">
        <f>"10522018030122055583041"</f>
        <v>10522018030122055583041</v>
      </c>
      <c r="B156" s="4">
        <v>154</v>
      </c>
      <c r="C156" s="1" t="s">
        <v>14</v>
      </c>
      <c r="D156" s="2" t="str">
        <f t="shared" si="11"/>
        <v>女</v>
      </c>
      <c r="E156" s="2" t="str">
        <f>"341227199408301028"</f>
        <v>341227199408301028</v>
      </c>
      <c r="F156" s="3" t="str">
        <f t="shared" si="12"/>
        <v>护理</v>
      </c>
      <c r="G156" s="2" t="str">
        <f>"2018010719"</f>
        <v>2018010719</v>
      </c>
      <c r="H156" s="2">
        <v>63</v>
      </c>
      <c r="I156" s="2">
        <v>91</v>
      </c>
      <c r="J156" s="2">
        <f t="shared" si="10"/>
        <v>82.6</v>
      </c>
      <c r="K156" s="2"/>
      <c r="L156" s="6">
        <v>7</v>
      </c>
      <c r="M156" s="6">
        <v>19</v>
      </c>
    </row>
    <row r="157" spans="1:13" ht="18.75" customHeight="1">
      <c r="A157" s="6" t="str">
        <f>"10522018030212181283125"</f>
        <v>10522018030212181283125</v>
      </c>
      <c r="B157" s="4">
        <v>155</v>
      </c>
      <c r="C157" s="1" t="s">
        <v>14</v>
      </c>
      <c r="D157" s="2" t="str">
        <f t="shared" si="11"/>
        <v>女</v>
      </c>
      <c r="E157" s="2" t="str">
        <f>"341621199711010569"</f>
        <v>341621199711010569</v>
      </c>
      <c r="F157" s="3" t="str">
        <f t="shared" si="12"/>
        <v>护理</v>
      </c>
      <c r="G157" s="2" t="str">
        <f>"2018012207"</f>
        <v>2018012207</v>
      </c>
      <c r="H157" s="2">
        <v>46.5</v>
      </c>
      <c r="I157" s="2">
        <v>98</v>
      </c>
      <c r="J157" s="2">
        <f t="shared" si="10"/>
        <v>82.55</v>
      </c>
      <c r="K157" s="2"/>
      <c r="L157" s="6">
        <v>22</v>
      </c>
      <c r="M157" s="6">
        <v>7</v>
      </c>
    </row>
    <row r="158" spans="1:13" ht="18.75" customHeight="1">
      <c r="A158" s="6" t="str">
        <f>"10522018022814425582619"</f>
        <v>10522018022814425582619</v>
      </c>
      <c r="B158" s="4">
        <v>156</v>
      </c>
      <c r="C158" s="1" t="s">
        <v>14</v>
      </c>
      <c r="D158" s="2" t="str">
        <f t="shared" si="11"/>
        <v>女</v>
      </c>
      <c r="E158" s="2" t="str">
        <f>"341223199407175140"</f>
        <v>341223199407175140</v>
      </c>
      <c r="F158" s="3" t="str">
        <f t="shared" si="12"/>
        <v>护理</v>
      </c>
      <c r="G158" s="2" t="str">
        <f>"2018011122"</f>
        <v>2018011122</v>
      </c>
      <c r="H158" s="2">
        <v>43</v>
      </c>
      <c r="I158" s="2">
        <v>99</v>
      </c>
      <c r="J158" s="2">
        <f t="shared" si="10"/>
        <v>82.2</v>
      </c>
      <c r="K158" s="2"/>
      <c r="L158" s="6">
        <v>11</v>
      </c>
      <c r="M158" s="6">
        <v>22</v>
      </c>
    </row>
    <row r="159" spans="1:13" ht="18.75" customHeight="1">
      <c r="A159" s="6" t="str">
        <f>"10522018022821311482749"</f>
        <v>10522018022821311482749</v>
      </c>
      <c r="B159" s="4">
        <v>157</v>
      </c>
      <c r="C159" s="1" t="s">
        <v>14</v>
      </c>
      <c r="D159" s="2" t="str">
        <f t="shared" si="11"/>
        <v>女</v>
      </c>
      <c r="E159" s="2" t="str">
        <f>"341281199304165007"</f>
        <v>341281199304165007</v>
      </c>
      <c r="F159" s="3" t="str">
        <f t="shared" si="12"/>
        <v>护理</v>
      </c>
      <c r="G159" s="2" t="str">
        <f>"2018010809"</f>
        <v>2018010809</v>
      </c>
      <c r="H159" s="2">
        <v>50</v>
      </c>
      <c r="I159" s="2">
        <v>96</v>
      </c>
      <c r="J159" s="2">
        <f t="shared" si="10"/>
        <v>82.199999999999989</v>
      </c>
      <c r="K159" s="2"/>
      <c r="L159" s="6">
        <v>8</v>
      </c>
      <c r="M159" s="6">
        <v>9</v>
      </c>
    </row>
    <row r="160" spans="1:13" ht="18.75" customHeight="1">
      <c r="A160" s="6" t="str">
        <f>"10522018022813431582599"</f>
        <v>10522018022813431582599</v>
      </c>
      <c r="B160" s="4">
        <v>158</v>
      </c>
      <c r="C160" s="1" t="s">
        <v>14</v>
      </c>
      <c r="D160" s="2" t="str">
        <f t="shared" si="11"/>
        <v>女</v>
      </c>
      <c r="E160" s="2" t="str">
        <f>"341227199310201029"</f>
        <v>341227199310201029</v>
      </c>
      <c r="F160" s="3" t="str">
        <f t="shared" si="12"/>
        <v>护理</v>
      </c>
      <c r="G160" s="2" t="str">
        <f>"2018012127"</f>
        <v>2018012127</v>
      </c>
      <c r="H160" s="2">
        <v>28.5</v>
      </c>
      <c r="I160" s="2">
        <v>105</v>
      </c>
      <c r="J160" s="2">
        <f t="shared" si="10"/>
        <v>82.05</v>
      </c>
      <c r="K160" s="2"/>
      <c r="L160" s="6">
        <v>21</v>
      </c>
      <c r="M160" s="6">
        <v>27</v>
      </c>
    </row>
    <row r="161" spans="1:13" ht="18.75" customHeight="1">
      <c r="A161" s="6" t="str">
        <f>"10522018022713434482241"</f>
        <v>10522018022713434482241</v>
      </c>
      <c r="B161" s="4">
        <v>159</v>
      </c>
      <c r="C161" s="1" t="s">
        <v>14</v>
      </c>
      <c r="D161" s="2" t="str">
        <f t="shared" si="11"/>
        <v>女</v>
      </c>
      <c r="E161" s="2" t="str">
        <f>"341223199607255321"</f>
        <v>341223199607255321</v>
      </c>
      <c r="F161" s="3" t="str">
        <f t="shared" si="12"/>
        <v>护理</v>
      </c>
      <c r="G161" s="2" t="str">
        <f>"2018011101"</f>
        <v>2018011101</v>
      </c>
      <c r="H161" s="2">
        <v>47</v>
      </c>
      <c r="I161" s="2">
        <v>97</v>
      </c>
      <c r="J161" s="2">
        <f t="shared" si="10"/>
        <v>81.999999999999986</v>
      </c>
      <c r="K161" s="2"/>
      <c r="L161" s="6">
        <v>11</v>
      </c>
      <c r="M161" s="6">
        <v>1</v>
      </c>
    </row>
    <row r="162" spans="1:13" ht="18.75" customHeight="1">
      <c r="A162" s="6" t="str">
        <f>"10522018022710165382167"</f>
        <v>10522018022710165382167</v>
      </c>
      <c r="B162" s="4">
        <v>160</v>
      </c>
      <c r="C162" s="1" t="s">
        <v>14</v>
      </c>
      <c r="D162" s="2" t="str">
        <f t="shared" si="11"/>
        <v>女</v>
      </c>
      <c r="E162" s="2" t="str">
        <f>"341221199710261524"</f>
        <v>341221199710261524</v>
      </c>
      <c r="F162" s="3" t="str">
        <f>"护理专业"</f>
        <v>护理专业</v>
      </c>
      <c r="G162" s="2" t="str">
        <f>"2018012204"</f>
        <v>2018012204</v>
      </c>
      <c r="H162" s="2">
        <v>28</v>
      </c>
      <c r="I162" s="2">
        <v>105</v>
      </c>
      <c r="J162" s="2">
        <f t="shared" si="10"/>
        <v>81.900000000000006</v>
      </c>
      <c r="K162" s="2"/>
      <c r="L162" s="6">
        <v>22</v>
      </c>
      <c r="M162" s="6">
        <v>4</v>
      </c>
    </row>
    <row r="163" spans="1:13" ht="18.75" customHeight="1">
      <c r="A163" s="6" t="str">
        <f>"10522018022823070182769"</f>
        <v>10522018022823070182769</v>
      </c>
      <c r="B163" s="4">
        <v>161</v>
      </c>
      <c r="C163" s="1" t="s">
        <v>14</v>
      </c>
      <c r="D163" s="2" t="str">
        <f t="shared" si="11"/>
        <v>女</v>
      </c>
      <c r="E163" s="2" t="str">
        <f>"341621199408105522"</f>
        <v>341621199408105522</v>
      </c>
      <c r="F163" s="3" t="str">
        <f t="shared" ref="F163:F169" si="13">"护理"</f>
        <v>护理</v>
      </c>
      <c r="G163" s="2" t="str">
        <f>"2018011621"</f>
        <v>2018011621</v>
      </c>
      <c r="H163" s="2">
        <v>39</v>
      </c>
      <c r="I163" s="2">
        <v>100</v>
      </c>
      <c r="J163" s="2">
        <f t="shared" si="10"/>
        <v>81.7</v>
      </c>
      <c r="K163" s="2"/>
      <c r="L163" s="6">
        <v>16</v>
      </c>
      <c r="M163" s="6">
        <v>21</v>
      </c>
    </row>
    <row r="164" spans="1:13" ht="18.75" customHeight="1">
      <c r="A164" s="6" t="str">
        <f>"10522018022609474581631"</f>
        <v>10522018022609474581631</v>
      </c>
      <c r="B164" s="4">
        <v>162</v>
      </c>
      <c r="C164" s="1" t="s">
        <v>14</v>
      </c>
      <c r="D164" s="2" t="str">
        <f t="shared" si="11"/>
        <v>女</v>
      </c>
      <c r="E164" s="2" t="str">
        <f>"341281199303263502"</f>
        <v>341281199303263502</v>
      </c>
      <c r="F164" s="3" t="str">
        <f t="shared" si="13"/>
        <v>护理</v>
      </c>
      <c r="G164" s="2" t="str">
        <f>"2018012206"</f>
        <v>2018012206</v>
      </c>
      <c r="H164" s="2">
        <v>39</v>
      </c>
      <c r="I164" s="2">
        <v>100</v>
      </c>
      <c r="J164" s="2">
        <f t="shared" si="10"/>
        <v>81.7</v>
      </c>
      <c r="K164" s="2"/>
      <c r="L164" s="6">
        <v>22</v>
      </c>
      <c r="M164" s="6">
        <v>6</v>
      </c>
    </row>
    <row r="165" spans="1:13" ht="18.75" customHeight="1">
      <c r="A165" s="6" t="str">
        <f>"10522018022611520981771"</f>
        <v>10522018022611520981771</v>
      </c>
      <c r="B165" s="4">
        <v>163</v>
      </c>
      <c r="C165" s="1" t="s">
        <v>14</v>
      </c>
      <c r="D165" s="2" t="str">
        <f t="shared" si="11"/>
        <v>女</v>
      </c>
      <c r="E165" s="2" t="str">
        <f>"341621199708070229"</f>
        <v>341621199708070229</v>
      </c>
      <c r="F165" s="3" t="str">
        <f t="shared" si="13"/>
        <v>护理</v>
      </c>
      <c r="G165" s="2" t="str">
        <f>"2018011823"</f>
        <v>2018011823</v>
      </c>
      <c r="H165" s="2">
        <v>52.5</v>
      </c>
      <c r="I165" s="2">
        <v>94</v>
      </c>
      <c r="J165" s="2">
        <f t="shared" si="10"/>
        <v>81.55</v>
      </c>
      <c r="K165" s="2"/>
      <c r="L165" s="6">
        <v>18</v>
      </c>
      <c r="M165" s="6">
        <v>23</v>
      </c>
    </row>
    <row r="166" spans="1:13" ht="18.75" customHeight="1">
      <c r="A166" s="6" t="str">
        <f>"10522018022622550982112"</f>
        <v>10522018022622550982112</v>
      </c>
      <c r="B166" s="4">
        <v>164</v>
      </c>
      <c r="C166" s="1" t="s">
        <v>14</v>
      </c>
      <c r="D166" s="2" t="str">
        <f t="shared" si="11"/>
        <v>女</v>
      </c>
      <c r="E166" s="2" t="str">
        <f>"341223199701070323"</f>
        <v>341223199701070323</v>
      </c>
      <c r="F166" s="3" t="str">
        <f t="shared" si="13"/>
        <v>护理</v>
      </c>
      <c r="G166" s="2" t="str">
        <f>"2018012004"</f>
        <v>2018012004</v>
      </c>
      <c r="H166" s="2">
        <v>59.5</v>
      </c>
      <c r="I166" s="2">
        <v>91</v>
      </c>
      <c r="J166" s="2">
        <f t="shared" si="10"/>
        <v>81.55</v>
      </c>
      <c r="K166" s="2"/>
      <c r="L166" s="6">
        <v>20</v>
      </c>
      <c r="M166" s="6">
        <v>4</v>
      </c>
    </row>
    <row r="167" spans="1:13" ht="18.75" customHeight="1">
      <c r="A167" s="6" t="str">
        <f>"10522018022616402181963"</f>
        <v>10522018022616402181963</v>
      </c>
      <c r="B167" s="4">
        <v>165</v>
      </c>
      <c r="C167" s="1" t="s">
        <v>14</v>
      </c>
      <c r="D167" s="2" t="str">
        <f t="shared" si="11"/>
        <v>女</v>
      </c>
      <c r="E167" s="2" t="str">
        <f>"341227199310201563"</f>
        <v>341227199310201563</v>
      </c>
      <c r="F167" s="3" t="str">
        <f t="shared" si="13"/>
        <v>护理</v>
      </c>
      <c r="G167" s="2" t="str">
        <f>"2018010823"</f>
        <v>2018010823</v>
      </c>
      <c r="H167" s="2">
        <v>31</v>
      </c>
      <c r="I167" s="2">
        <v>103</v>
      </c>
      <c r="J167" s="2">
        <f t="shared" si="10"/>
        <v>81.399999999999991</v>
      </c>
      <c r="K167" s="2"/>
      <c r="L167" s="6">
        <v>8</v>
      </c>
      <c r="M167" s="6">
        <v>23</v>
      </c>
    </row>
    <row r="168" spans="1:13" ht="18.75" customHeight="1">
      <c r="A168" s="6" t="str">
        <f>"10522018022613310381847"</f>
        <v>10522018022613310381847</v>
      </c>
      <c r="B168" s="4">
        <v>166</v>
      </c>
      <c r="C168" s="1" t="s">
        <v>14</v>
      </c>
      <c r="D168" s="2" t="str">
        <f t="shared" si="11"/>
        <v>女</v>
      </c>
      <c r="E168" s="2" t="str">
        <f>"142730199110110340"</f>
        <v>142730199110110340</v>
      </c>
      <c r="F168" s="3" t="str">
        <f t="shared" si="13"/>
        <v>护理</v>
      </c>
      <c r="G168" s="2" t="str">
        <f>"2018011825"</f>
        <v>2018011825</v>
      </c>
      <c r="H168" s="2">
        <v>49.5</v>
      </c>
      <c r="I168" s="2">
        <v>95</v>
      </c>
      <c r="J168" s="2">
        <f t="shared" si="10"/>
        <v>81.349999999999994</v>
      </c>
      <c r="K168" s="2"/>
      <c r="L168" s="6">
        <v>18</v>
      </c>
      <c r="M168" s="6">
        <v>25</v>
      </c>
    </row>
    <row r="169" spans="1:13" ht="18.75" customHeight="1">
      <c r="A169" s="6" t="str">
        <f>"10522018022722044282437"</f>
        <v>10522018022722044282437</v>
      </c>
      <c r="B169" s="4">
        <v>167</v>
      </c>
      <c r="C169" s="1" t="s">
        <v>14</v>
      </c>
      <c r="D169" s="2" t="str">
        <f t="shared" si="11"/>
        <v>女</v>
      </c>
      <c r="E169" s="2" t="str">
        <f>"341223199706180222"</f>
        <v>341223199706180222</v>
      </c>
      <c r="F169" s="3" t="str">
        <f t="shared" si="13"/>
        <v>护理</v>
      </c>
      <c r="G169" s="2" t="str">
        <f>"2018012117"</f>
        <v>2018012117</v>
      </c>
      <c r="H169" s="2">
        <v>47</v>
      </c>
      <c r="I169" s="2">
        <v>96</v>
      </c>
      <c r="J169" s="2">
        <f t="shared" si="10"/>
        <v>81.299999999999983</v>
      </c>
      <c r="K169" s="2"/>
      <c r="L169" s="6">
        <v>21</v>
      </c>
      <c r="M169" s="6">
        <v>17</v>
      </c>
    </row>
    <row r="170" spans="1:13" ht="18.75" customHeight="1">
      <c r="A170" s="6" t="str">
        <f>"10522018022814321382616"</f>
        <v>10522018022814321382616</v>
      </c>
      <c r="B170" s="4">
        <v>168</v>
      </c>
      <c r="C170" s="1" t="s">
        <v>14</v>
      </c>
      <c r="D170" s="2" t="str">
        <f t="shared" si="11"/>
        <v>女</v>
      </c>
      <c r="E170" s="2" t="str">
        <f>"341623199409267622"</f>
        <v>341623199409267622</v>
      </c>
      <c r="F170" s="3" t="str">
        <f>"护理专业"</f>
        <v>护理专业</v>
      </c>
      <c r="G170" s="2" t="str">
        <f>"2018010606"</f>
        <v>2018010606</v>
      </c>
      <c r="H170" s="2">
        <v>37</v>
      </c>
      <c r="I170" s="2">
        <v>100</v>
      </c>
      <c r="J170" s="2">
        <f t="shared" si="10"/>
        <v>81.099999999999994</v>
      </c>
      <c r="K170" s="2"/>
      <c r="L170" s="6">
        <v>6</v>
      </c>
      <c r="M170" s="6">
        <v>6</v>
      </c>
    </row>
    <row r="171" spans="1:13" ht="18.75" customHeight="1">
      <c r="A171" s="6" t="str">
        <f>"10522018022610223981670"</f>
        <v>10522018022610223981670</v>
      </c>
      <c r="B171" s="4">
        <v>169</v>
      </c>
      <c r="C171" s="1" t="s">
        <v>14</v>
      </c>
      <c r="D171" s="2" t="str">
        <f t="shared" si="11"/>
        <v>女</v>
      </c>
      <c r="E171" s="2" t="str">
        <f>"341621199608010026"</f>
        <v>341621199608010026</v>
      </c>
      <c r="F171" s="3" t="str">
        <f>"护理"</f>
        <v>护理</v>
      </c>
      <c r="G171" s="2" t="str">
        <f>"2018011826"</f>
        <v>2018011826</v>
      </c>
      <c r="H171" s="2">
        <v>58</v>
      </c>
      <c r="I171" s="2">
        <v>91</v>
      </c>
      <c r="J171" s="2">
        <f t="shared" si="10"/>
        <v>81.099999999999994</v>
      </c>
      <c r="K171" s="2"/>
      <c r="L171" s="6">
        <v>18</v>
      </c>
      <c r="M171" s="6">
        <v>26</v>
      </c>
    </row>
    <row r="172" spans="1:13" ht="18.75" customHeight="1">
      <c r="A172" s="6" t="str">
        <f>"10522018022611205581753"</f>
        <v>10522018022611205581753</v>
      </c>
      <c r="B172" s="4">
        <v>170</v>
      </c>
      <c r="C172" s="1" t="s">
        <v>14</v>
      </c>
      <c r="D172" s="2" t="str">
        <f t="shared" si="11"/>
        <v>女</v>
      </c>
      <c r="E172" s="2" t="str">
        <f>"341602199407034620"</f>
        <v>341602199407034620</v>
      </c>
      <c r="F172" s="3" t="str">
        <f>"护理"</f>
        <v>护理</v>
      </c>
      <c r="G172" s="2" t="str">
        <f>"2018011920"</f>
        <v>2018011920</v>
      </c>
      <c r="H172" s="2">
        <v>53</v>
      </c>
      <c r="I172" s="2">
        <v>93</v>
      </c>
      <c r="J172" s="2">
        <f t="shared" si="10"/>
        <v>81</v>
      </c>
      <c r="K172" s="2"/>
      <c r="L172" s="6">
        <v>19</v>
      </c>
      <c r="M172" s="6">
        <v>20</v>
      </c>
    </row>
    <row r="173" spans="1:13" ht="18.75" customHeight="1">
      <c r="A173" s="6" t="str">
        <f>"10522018022611223381755"</f>
        <v>10522018022611223381755</v>
      </c>
      <c r="B173" s="4">
        <v>171</v>
      </c>
      <c r="C173" s="1" t="s">
        <v>14</v>
      </c>
      <c r="D173" s="2" t="str">
        <f t="shared" si="11"/>
        <v>女</v>
      </c>
      <c r="E173" s="2" t="str">
        <f>"341223199501310345"</f>
        <v>341223199501310345</v>
      </c>
      <c r="F173" s="3" t="str">
        <f>"护理专业"</f>
        <v>护理专业</v>
      </c>
      <c r="G173" s="2" t="str">
        <f>"2018011927"</f>
        <v>2018011927</v>
      </c>
      <c r="H173" s="2">
        <v>29.5</v>
      </c>
      <c r="I173" s="2">
        <v>103</v>
      </c>
      <c r="J173" s="2">
        <f t="shared" si="10"/>
        <v>80.949999999999989</v>
      </c>
      <c r="K173" s="2"/>
      <c r="L173" s="6">
        <v>19</v>
      </c>
      <c r="M173" s="6">
        <v>27</v>
      </c>
    </row>
    <row r="174" spans="1:13" ht="18.75" customHeight="1">
      <c r="A174" s="6" t="str">
        <f>"10522018022713512382243"</f>
        <v>10522018022713512382243</v>
      </c>
      <c r="B174" s="4">
        <v>172</v>
      </c>
      <c r="C174" s="1" t="s">
        <v>14</v>
      </c>
      <c r="D174" s="2" t="str">
        <f t="shared" si="11"/>
        <v>女</v>
      </c>
      <c r="E174" s="2" t="str">
        <f>"341227199804052027"</f>
        <v>341227199804052027</v>
      </c>
      <c r="F174" s="3" t="str">
        <f t="shared" ref="F174:F205" si="14">"护理"</f>
        <v>护理</v>
      </c>
      <c r="G174" s="2" t="str">
        <f>"2018011003"</f>
        <v>2018011003</v>
      </c>
      <c r="H174" s="2">
        <v>43</v>
      </c>
      <c r="I174" s="2">
        <v>97</v>
      </c>
      <c r="J174" s="2">
        <f t="shared" si="10"/>
        <v>80.8</v>
      </c>
      <c r="K174" s="2"/>
      <c r="L174" s="6">
        <v>10</v>
      </c>
      <c r="M174" s="6">
        <v>3</v>
      </c>
    </row>
    <row r="175" spans="1:13" ht="18.75" customHeight="1">
      <c r="A175" s="6" t="str">
        <f>"10522018022716315882304"</f>
        <v>10522018022716315882304</v>
      </c>
      <c r="B175" s="4">
        <v>173</v>
      </c>
      <c r="C175" s="1" t="s">
        <v>14</v>
      </c>
      <c r="D175" s="2" t="str">
        <f t="shared" ref="D175:D206" si="15">"女"</f>
        <v>女</v>
      </c>
      <c r="E175" s="2" t="str">
        <f>"341621199704264325"</f>
        <v>341621199704264325</v>
      </c>
      <c r="F175" s="3" t="str">
        <f t="shared" si="14"/>
        <v>护理</v>
      </c>
      <c r="G175" s="2" t="str">
        <f>"2018011508"</f>
        <v>2018011508</v>
      </c>
      <c r="H175" s="2">
        <v>47.5</v>
      </c>
      <c r="I175" s="2">
        <v>95</v>
      </c>
      <c r="J175" s="2">
        <f t="shared" si="10"/>
        <v>80.75</v>
      </c>
      <c r="K175" s="2"/>
      <c r="L175" s="6">
        <v>15</v>
      </c>
      <c r="M175" s="6">
        <v>8</v>
      </c>
    </row>
    <row r="176" spans="1:13" ht="18.75" customHeight="1">
      <c r="A176" s="6" t="str">
        <f>"10522018030112310682867"</f>
        <v>10522018030112310682867</v>
      </c>
      <c r="B176" s="4">
        <v>174</v>
      </c>
      <c r="C176" s="1" t="s">
        <v>14</v>
      </c>
      <c r="D176" s="2" t="str">
        <f t="shared" si="15"/>
        <v>女</v>
      </c>
      <c r="E176" s="2" t="str">
        <f>"341227199412090729"</f>
        <v>341227199412090729</v>
      </c>
      <c r="F176" s="3" t="str">
        <f t="shared" si="14"/>
        <v>护理</v>
      </c>
      <c r="G176" s="2" t="str">
        <f>"2018011828"</f>
        <v>2018011828</v>
      </c>
      <c r="H176" s="2">
        <v>47.5</v>
      </c>
      <c r="I176" s="2">
        <v>95</v>
      </c>
      <c r="J176" s="2">
        <f t="shared" si="10"/>
        <v>80.75</v>
      </c>
      <c r="K176" s="2"/>
      <c r="L176" s="6">
        <v>18</v>
      </c>
      <c r="M176" s="6">
        <v>28</v>
      </c>
    </row>
    <row r="177" spans="1:13" ht="18.75" customHeight="1">
      <c r="A177" s="6" t="str">
        <f>"10522018022612593681826"</f>
        <v>10522018022612593681826</v>
      </c>
      <c r="B177" s="4">
        <v>175</v>
      </c>
      <c r="C177" s="1" t="s">
        <v>14</v>
      </c>
      <c r="D177" s="2" t="str">
        <f t="shared" si="15"/>
        <v>女</v>
      </c>
      <c r="E177" s="2" t="str">
        <f>"341223199411090529"</f>
        <v>341223199411090529</v>
      </c>
      <c r="F177" s="3" t="str">
        <f t="shared" si="14"/>
        <v>护理</v>
      </c>
      <c r="G177" s="2" t="str">
        <f>"2018010530"</f>
        <v>2018010530</v>
      </c>
      <c r="H177" s="2">
        <v>44.5</v>
      </c>
      <c r="I177" s="2">
        <v>96</v>
      </c>
      <c r="J177" s="2">
        <f t="shared" si="10"/>
        <v>80.549999999999983</v>
      </c>
      <c r="K177" s="2"/>
      <c r="L177" s="6">
        <v>5</v>
      </c>
      <c r="M177" s="6">
        <v>30</v>
      </c>
    </row>
    <row r="178" spans="1:13" ht="18.75" customHeight="1">
      <c r="A178" s="6" t="str">
        <f>"10522018022615544481934"</f>
        <v>10522018022615544481934</v>
      </c>
      <c r="B178" s="4">
        <v>176</v>
      </c>
      <c r="C178" s="1" t="s">
        <v>14</v>
      </c>
      <c r="D178" s="2" t="str">
        <f t="shared" si="15"/>
        <v>女</v>
      </c>
      <c r="E178" s="2" t="str">
        <f>"341623199608140448"</f>
        <v>341623199608140448</v>
      </c>
      <c r="F178" s="3" t="str">
        <f t="shared" si="14"/>
        <v>护理</v>
      </c>
      <c r="G178" s="2" t="str">
        <f>"2018011625"</f>
        <v>2018011625</v>
      </c>
      <c r="H178" s="2">
        <v>32.5</v>
      </c>
      <c r="I178" s="2">
        <v>101</v>
      </c>
      <c r="J178" s="2">
        <f t="shared" si="10"/>
        <v>80.449999999999989</v>
      </c>
      <c r="K178" s="2"/>
      <c r="L178" s="6">
        <v>16</v>
      </c>
      <c r="M178" s="6">
        <v>25</v>
      </c>
    </row>
    <row r="179" spans="1:13" ht="18.75" customHeight="1">
      <c r="A179" s="6" t="str">
        <f>"10522018022610431881704"</f>
        <v>10522018022610431881704</v>
      </c>
      <c r="B179" s="4">
        <v>177</v>
      </c>
      <c r="C179" s="1" t="s">
        <v>14</v>
      </c>
      <c r="D179" s="2" t="str">
        <f t="shared" si="15"/>
        <v>女</v>
      </c>
      <c r="E179" s="2" t="str">
        <f>"34162119970812512X"</f>
        <v>34162119970812512X</v>
      </c>
      <c r="F179" s="3" t="str">
        <f t="shared" si="14"/>
        <v>护理</v>
      </c>
      <c r="G179" s="2" t="str">
        <f>"2018011703"</f>
        <v>2018011703</v>
      </c>
      <c r="H179" s="2">
        <v>34.5</v>
      </c>
      <c r="I179" s="2">
        <v>100</v>
      </c>
      <c r="J179" s="2">
        <f t="shared" si="10"/>
        <v>80.349999999999994</v>
      </c>
      <c r="K179" s="2"/>
      <c r="L179" s="6">
        <v>17</v>
      </c>
      <c r="M179" s="6">
        <v>3</v>
      </c>
    </row>
    <row r="180" spans="1:13" ht="18.75" customHeight="1">
      <c r="A180" s="6" t="str">
        <f>"10522018022611224981757"</f>
        <v>10522018022611224981757</v>
      </c>
      <c r="B180" s="4">
        <v>178</v>
      </c>
      <c r="C180" s="1" t="s">
        <v>14</v>
      </c>
      <c r="D180" s="2" t="str">
        <f t="shared" si="15"/>
        <v>女</v>
      </c>
      <c r="E180" s="2" t="str">
        <f>"341223199611140228"</f>
        <v>341223199611140228</v>
      </c>
      <c r="F180" s="3" t="str">
        <f t="shared" si="14"/>
        <v>护理</v>
      </c>
      <c r="G180" s="2" t="str">
        <f>"2018010712"</f>
        <v>2018010712</v>
      </c>
      <c r="H180" s="2">
        <v>38.5</v>
      </c>
      <c r="I180" s="2">
        <v>98</v>
      </c>
      <c r="J180" s="2">
        <f t="shared" si="10"/>
        <v>80.149999999999991</v>
      </c>
      <c r="K180" s="2"/>
      <c r="L180" s="6">
        <v>7</v>
      </c>
      <c r="M180" s="6">
        <v>12</v>
      </c>
    </row>
    <row r="181" spans="1:13" ht="18.75" customHeight="1">
      <c r="A181" s="6" t="str">
        <f>"10522018022721054582413"</f>
        <v>10522018022721054582413</v>
      </c>
      <c r="B181" s="4">
        <v>179</v>
      </c>
      <c r="C181" s="1" t="s">
        <v>14</v>
      </c>
      <c r="D181" s="2" t="str">
        <f t="shared" si="15"/>
        <v>女</v>
      </c>
      <c r="E181" s="2" t="str">
        <f>"34128119971010092X"</f>
        <v>34128119971010092X</v>
      </c>
      <c r="F181" s="3" t="str">
        <f t="shared" si="14"/>
        <v>护理</v>
      </c>
      <c r="G181" s="2" t="str">
        <f>"2018012019"</f>
        <v>2018012019</v>
      </c>
      <c r="H181" s="2">
        <v>50</v>
      </c>
      <c r="I181" s="2">
        <v>93</v>
      </c>
      <c r="J181" s="2">
        <f t="shared" si="10"/>
        <v>80.099999999999994</v>
      </c>
      <c r="K181" s="2"/>
      <c r="L181" s="6">
        <v>20</v>
      </c>
      <c r="M181" s="6">
        <v>19</v>
      </c>
    </row>
    <row r="182" spans="1:13" ht="18.75" customHeight="1">
      <c r="A182" s="6" t="str">
        <f>"10522018022612584981823"</f>
        <v>10522018022612584981823</v>
      </c>
      <c r="B182" s="4">
        <v>180</v>
      </c>
      <c r="C182" s="1" t="s">
        <v>14</v>
      </c>
      <c r="D182" s="2" t="str">
        <f t="shared" si="15"/>
        <v>女</v>
      </c>
      <c r="E182" s="2" t="str">
        <f>"341621199303192922"</f>
        <v>341621199303192922</v>
      </c>
      <c r="F182" s="3" t="str">
        <f t="shared" si="14"/>
        <v>护理</v>
      </c>
      <c r="G182" s="2" t="str">
        <f>"2018011505"</f>
        <v>2018011505</v>
      </c>
      <c r="H182" s="2">
        <v>54.5</v>
      </c>
      <c r="I182" s="2">
        <v>91</v>
      </c>
      <c r="J182" s="2">
        <f t="shared" si="10"/>
        <v>80.05</v>
      </c>
      <c r="K182" s="2"/>
      <c r="L182" s="6">
        <v>15</v>
      </c>
      <c r="M182" s="6">
        <v>5</v>
      </c>
    </row>
    <row r="183" spans="1:13" ht="18.75" customHeight="1">
      <c r="A183" s="6" t="str">
        <f>"10522018030116164482951"</f>
        <v>10522018030116164482951</v>
      </c>
      <c r="B183" s="4">
        <v>181</v>
      </c>
      <c r="C183" s="1" t="s">
        <v>14</v>
      </c>
      <c r="D183" s="2" t="str">
        <f t="shared" si="15"/>
        <v>女</v>
      </c>
      <c r="E183" s="2" t="str">
        <f>"341621199405011328"</f>
        <v>341621199405011328</v>
      </c>
      <c r="F183" s="3" t="str">
        <f t="shared" si="14"/>
        <v>护理</v>
      </c>
      <c r="G183" s="2" t="str">
        <f>"2018011114"</f>
        <v>2018011114</v>
      </c>
      <c r="H183" s="2">
        <v>42.5</v>
      </c>
      <c r="I183" s="2">
        <v>96</v>
      </c>
      <c r="J183" s="2">
        <f t="shared" si="10"/>
        <v>79.949999999999989</v>
      </c>
      <c r="K183" s="2"/>
      <c r="L183" s="6">
        <v>11</v>
      </c>
      <c r="M183" s="6">
        <v>14</v>
      </c>
    </row>
    <row r="184" spans="1:13" ht="18.75" customHeight="1">
      <c r="A184" s="6" t="str">
        <f>"10522018022821512382755"</f>
        <v>10522018022821512382755</v>
      </c>
      <c r="B184" s="4">
        <v>182</v>
      </c>
      <c r="C184" s="1" t="s">
        <v>14</v>
      </c>
      <c r="D184" s="2" t="str">
        <f t="shared" si="15"/>
        <v>女</v>
      </c>
      <c r="E184" s="2" t="str">
        <f>"341621199406252940"</f>
        <v>341621199406252940</v>
      </c>
      <c r="F184" s="3" t="str">
        <f t="shared" si="14"/>
        <v>护理</v>
      </c>
      <c r="G184" s="2" t="str">
        <f>"2018011615"</f>
        <v>2018011615</v>
      </c>
      <c r="H184" s="2">
        <v>42.5</v>
      </c>
      <c r="I184" s="2">
        <v>96</v>
      </c>
      <c r="J184" s="2">
        <f t="shared" si="10"/>
        <v>79.949999999999989</v>
      </c>
      <c r="K184" s="2"/>
      <c r="L184" s="6">
        <v>16</v>
      </c>
      <c r="M184" s="6">
        <v>15</v>
      </c>
    </row>
    <row r="185" spans="1:13" ht="18.75" customHeight="1">
      <c r="A185" s="6" t="str">
        <f>"10522018022816544682656"</f>
        <v>10522018022816544682656</v>
      </c>
      <c r="B185" s="4">
        <v>183</v>
      </c>
      <c r="C185" s="1" t="s">
        <v>14</v>
      </c>
      <c r="D185" s="2" t="str">
        <f t="shared" si="15"/>
        <v>女</v>
      </c>
      <c r="E185" s="2" t="str">
        <f>"341623199509010728"</f>
        <v>341623199509010728</v>
      </c>
      <c r="F185" s="3" t="str">
        <f t="shared" si="14"/>
        <v>护理</v>
      </c>
      <c r="G185" s="2" t="str">
        <f>"2018011118"</f>
        <v>2018011118</v>
      </c>
      <c r="H185" s="2">
        <v>47</v>
      </c>
      <c r="I185" s="2">
        <v>94</v>
      </c>
      <c r="J185" s="2">
        <f t="shared" si="10"/>
        <v>79.899999999999991</v>
      </c>
      <c r="K185" s="2"/>
      <c r="L185" s="6">
        <v>11</v>
      </c>
      <c r="M185" s="6">
        <v>18</v>
      </c>
    </row>
    <row r="186" spans="1:13" ht="18.75" customHeight="1">
      <c r="A186" s="6" t="str">
        <f>"10522018022820151882725"</f>
        <v>10522018022820151882725</v>
      </c>
      <c r="B186" s="4">
        <v>184</v>
      </c>
      <c r="C186" s="1" t="s">
        <v>14</v>
      </c>
      <c r="D186" s="2" t="str">
        <f t="shared" si="15"/>
        <v>女</v>
      </c>
      <c r="E186" s="2" t="str">
        <f>"341281199704280020"</f>
        <v>341281199704280020</v>
      </c>
      <c r="F186" s="3" t="str">
        <f t="shared" si="14"/>
        <v>护理</v>
      </c>
      <c r="G186" s="2" t="str">
        <f>"2018010924"</f>
        <v>2018010924</v>
      </c>
      <c r="H186" s="2">
        <v>49</v>
      </c>
      <c r="I186" s="2">
        <v>93</v>
      </c>
      <c r="J186" s="2">
        <f t="shared" si="10"/>
        <v>79.8</v>
      </c>
      <c r="K186" s="2"/>
      <c r="L186" s="6">
        <v>9</v>
      </c>
      <c r="M186" s="6">
        <v>24</v>
      </c>
    </row>
    <row r="187" spans="1:13" ht="18.75" customHeight="1">
      <c r="A187" s="6" t="str">
        <f>"10522018022612235081789"</f>
        <v>10522018022612235081789</v>
      </c>
      <c r="B187" s="4">
        <v>185</v>
      </c>
      <c r="C187" s="1" t="s">
        <v>14</v>
      </c>
      <c r="D187" s="2" t="str">
        <f t="shared" si="15"/>
        <v>女</v>
      </c>
      <c r="E187" s="2" t="str">
        <f>"341227199508080023"</f>
        <v>341227199508080023</v>
      </c>
      <c r="F187" s="3" t="str">
        <f t="shared" si="14"/>
        <v>护理</v>
      </c>
      <c r="G187" s="2" t="str">
        <f>"2018011308"</f>
        <v>2018011308</v>
      </c>
      <c r="H187" s="2">
        <v>42</v>
      </c>
      <c r="I187" s="2">
        <v>96</v>
      </c>
      <c r="J187" s="2">
        <f t="shared" si="10"/>
        <v>79.799999999999983</v>
      </c>
      <c r="K187" s="2"/>
      <c r="L187" s="6">
        <v>13</v>
      </c>
      <c r="M187" s="6">
        <v>8</v>
      </c>
    </row>
    <row r="188" spans="1:13" ht="18.75" customHeight="1">
      <c r="A188" s="6" t="str">
        <f>"10522018022716474382308"</f>
        <v>10522018022716474382308</v>
      </c>
      <c r="B188" s="4">
        <v>186</v>
      </c>
      <c r="C188" s="1" t="s">
        <v>14</v>
      </c>
      <c r="D188" s="2" t="str">
        <f t="shared" si="15"/>
        <v>女</v>
      </c>
      <c r="E188" s="2" t="str">
        <f>"341223199408022541"</f>
        <v>341223199408022541</v>
      </c>
      <c r="F188" s="3" t="str">
        <f t="shared" si="14"/>
        <v>护理</v>
      </c>
      <c r="G188" s="2" t="str">
        <f>"2018011617"</f>
        <v>2018011617</v>
      </c>
      <c r="H188" s="2">
        <v>44</v>
      </c>
      <c r="I188" s="2">
        <v>95</v>
      </c>
      <c r="J188" s="2">
        <f t="shared" si="10"/>
        <v>79.7</v>
      </c>
      <c r="K188" s="2"/>
      <c r="L188" s="6">
        <v>16</v>
      </c>
      <c r="M188" s="6">
        <v>17</v>
      </c>
    </row>
    <row r="189" spans="1:13" ht="18.75" customHeight="1">
      <c r="A189" s="6" t="str">
        <f>"10522018022719231682362"</f>
        <v>10522018022719231682362</v>
      </c>
      <c r="B189" s="4">
        <v>187</v>
      </c>
      <c r="C189" s="1" t="s">
        <v>14</v>
      </c>
      <c r="D189" s="2" t="str">
        <f t="shared" si="15"/>
        <v>女</v>
      </c>
      <c r="E189" s="2" t="str">
        <f>"341227199603018340"</f>
        <v>341227199603018340</v>
      </c>
      <c r="F189" s="3" t="str">
        <f t="shared" si="14"/>
        <v>护理</v>
      </c>
      <c r="G189" s="2" t="str">
        <f>"2018011923"</f>
        <v>2018011923</v>
      </c>
      <c r="H189" s="2">
        <v>29.5</v>
      </c>
      <c r="I189" s="2">
        <v>101</v>
      </c>
      <c r="J189" s="2">
        <f t="shared" si="10"/>
        <v>79.549999999999983</v>
      </c>
      <c r="K189" s="2"/>
      <c r="L189" s="6">
        <v>19</v>
      </c>
      <c r="M189" s="6">
        <v>23</v>
      </c>
    </row>
    <row r="190" spans="1:13" ht="18.75" customHeight="1">
      <c r="A190" s="6" t="str">
        <f>"10522018022609331081616"</f>
        <v>10522018022609331081616</v>
      </c>
      <c r="B190" s="4">
        <v>188</v>
      </c>
      <c r="C190" s="1" t="s">
        <v>14</v>
      </c>
      <c r="D190" s="2" t="str">
        <f t="shared" si="15"/>
        <v>女</v>
      </c>
      <c r="E190" s="2" t="str">
        <f>"341621199505025129"</f>
        <v>341621199505025129</v>
      </c>
      <c r="F190" s="3" t="str">
        <f t="shared" si="14"/>
        <v>护理</v>
      </c>
      <c r="G190" s="2" t="str">
        <f>"2018011519"</f>
        <v>2018011519</v>
      </c>
      <c r="H190" s="2">
        <v>41</v>
      </c>
      <c r="I190" s="2">
        <v>96</v>
      </c>
      <c r="J190" s="2">
        <f t="shared" si="10"/>
        <v>79.499999999999986</v>
      </c>
      <c r="K190" s="2"/>
      <c r="L190" s="6">
        <v>15</v>
      </c>
      <c r="M190" s="6">
        <v>19</v>
      </c>
    </row>
    <row r="191" spans="1:13" ht="18.75" customHeight="1">
      <c r="A191" s="6" t="str">
        <f>"10522018022609023281560"</f>
        <v>10522018022609023281560</v>
      </c>
      <c r="B191" s="4">
        <v>189</v>
      </c>
      <c r="C191" s="1" t="s">
        <v>14</v>
      </c>
      <c r="D191" s="2" t="str">
        <f t="shared" si="15"/>
        <v>女</v>
      </c>
      <c r="E191" s="2" t="str">
        <f>"34122319960321192X"</f>
        <v>34122319960321192X</v>
      </c>
      <c r="F191" s="3" t="str">
        <f t="shared" si="14"/>
        <v>护理</v>
      </c>
      <c r="G191" s="2" t="str">
        <f>"2018011518"</f>
        <v>2018011518</v>
      </c>
      <c r="H191" s="2">
        <v>45.5</v>
      </c>
      <c r="I191" s="2">
        <v>94</v>
      </c>
      <c r="J191" s="2">
        <f t="shared" si="10"/>
        <v>79.45</v>
      </c>
      <c r="K191" s="2"/>
      <c r="L191" s="6">
        <v>15</v>
      </c>
      <c r="M191" s="6">
        <v>18</v>
      </c>
    </row>
    <row r="192" spans="1:13" ht="18.75" customHeight="1">
      <c r="A192" s="6" t="str">
        <f>"10522018030113302182894"</f>
        <v>10522018030113302182894</v>
      </c>
      <c r="B192" s="4">
        <v>190</v>
      </c>
      <c r="C192" s="1" t="s">
        <v>14</v>
      </c>
      <c r="D192" s="2" t="str">
        <f t="shared" si="15"/>
        <v>女</v>
      </c>
      <c r="E192" s="2" t="str">
        <f>"34122719950306872X"</f>
        <v>34122719950306872X</v>
      </c>
      <c r="F192" s="3" t="str">
        <f t="shared" si="14"/>
        <v>护理</v>
      </c>
      <c r="G192" s="2" t="str">
        <f>"2018012205"</f>
        <v>2018012205</v>
      </c>
      <c r="H192" s="2">
        <v>31.5</v>
      </c>
      <c r="I192" s="2">
        <v>100</v>
      </c>
      <c r="J192" s="2">
        <f t="shared" si="10"/>
        <v>79.45</v>
      </c>
      <c r="K192" s="2"/>
      <c r="L192" s="6">
        <v>22</v>
      </c>
      <c r="M192" s="6">
        <v>5</v>
      </c>
    </row>
    <row r="193" spans="1:13" ht="18.75" customHeight="1">
      <c r="A193" s="6" t="str">
        <f>"10522018022617124481978"</f>
        <v>10522018022617124481978</v>
      </c>
      <c r="B193" s="4">
        <v>191</v>
      </c>
      <c r="C193" s="1" t="s">
        <v>14</v>
      </c>
      <c r="D193" s="2" t="str">
        <f t="shared" si="15"/>
        <v>女</v>
      </c>
      <c r="E193" s="2" t="str">
        <f>"341602199608221027"</f>
        <v>341602199608221027</v>
      </c>
      <c r="F193" s="3" t="str">
        <f t="shared" si="14"/>
        <v>护理</v>
      </c>
      <c r="G193" s="2" t="str">
        <f>"2018011316"</f>
        <v>2018011316</v>
      </c>
      <c r="H193" s="2">
        <v>45</v>
      </c>
      <c r="I193" s="2">
        <v>94</v>
      </c>
      <c r="J193" s="2">
        <f t="shared" si="10"/>
        <v>79.3</v>
      </c>
      <c r="K193" s="2"/>
      <c r="L193" s="6">
        <v>13</v>
      </c>
      <c r="M193" s="6">
        <v>16</v>
      </c>
    </row>
    <row r="194" spans="1:13" ht="18.75" customHeight="1">
      <c r="A194" s="6" t="str">
        <f>"10522018022820514982734"</f>
        <v>10522018022820514982734</v>
      </c>
      <c r="B194" s="4">
        <v>192</v>
      </c>
      <c r="C194" s="1" t="s">
        <v>14</v>
      </c>
      <c r="D194" s="2" t="str">
        <f t="shared" si="15"/>
        <v>女</v>
      </c>
      <c r="E194" s="2" t="str">
        <f>"341223199409223329"</f>
        <v>341223199409223329</v>
      </c>
      <c r="F194" s="3" t="str">
        <f t="shared" si="14"/>
        <v>护理</v>
      </c>
      <c r="G194" s="2" t="str">
        <f>"2018011805"</f>
        <v>2018011805</v>
      </c>
      <c r="H194" s="2">
        <v>42</v>
      </c>
      <c r="I194" s="2">
        <v>95</v>
      </c>
      <c r="J194" s="2">
        <f t="shared" si="10"/>
        <v>79.099999999999994</v>
      </c>
      <c r="K194" s="2"/>
      <c r="L194" s="6">
        <v>18</v>
      </c>
      <c r="M194" s="6">
        <v>5</v>
      </c>
    </row>
    <row r="195" spans="1:13" ht="18.75" customHeight="1">
      <c r="A195" s="6" t="str">
        <f>"10522018022610423881703"</f>
        <v>10522018022610423881703</v>
      </c>
      <c r="B195" s="4">
        <v>193</v>
      </c>
      <c r="C195" s="1" t="s">
        <v>14</v>
      </c>
      <c r="D195" s="2" t="str">
        <f t="shared" si="15"/>
        <v>女</v>
      </c>
      <c r="E195" s="2" t="str">
        <f>"341226199506191049"</f>
        <v>341226199506191049</v>
      </c>
      <c r="F195" s="3" t="str">
        <f t="shared" si="14"/>
        <v>护理</v>
      </c>
      <c r="G195" s="2" t="str">
        <f>"2018011907"</f>
        <v>2018011907</v>
      </c>
      <c r="H195" s="2">
        <v>32.5</v>
      </c>
      <c r="I195" s="2">
        <v>99</v>
      </c>
      <c r="J195" s="2">
        <f t="shared" ref="J195:J258" si="16">H195*0.3+I195*0.7</f>
        <v>79.05</v>
      </c>
      <c r="K195" s="2"/>
      <c r="L195" s="6">
        <v>19</v>
      </c>
      <c r="M195" s="6">
        <v>7</v>
      </c>
    </row>
    <row r="196" spans="1:13" ht="18.75" customHeight="1">
      <c r="A196" s="6" t="str">
        <f>"10522018022714521182269"</f>
        <v>10522018022714521182269</v>
      </c>
      <c r="B196" s="4">
        <v>194</v>
      </c>
      <c r="C196" s="1" t="s">
        <v>14</v>
      </c>
      <c r="D196" s="2" t="str">
        <f t="shared" si="15"/>
        <v>女</v>
      </c>
      <c r="E196" s="2" t="str">
        <f>"341223199601010067"</f>
        <v>341223199601010067</v>
      </c>
      <c r="F196" s="3" t="str">
        <f t="shared" si="14"/>
        <v>护理</v>
      </c>
      <c r="G196" s="2" t="str">
        <f>"2018011624"</f>
        <v>2018011624</v>
      </c>
      <c r="H196" s="2">
        <v>58</v>
      </c>
      <c r="I196" s="2">
        <v>88</v>
      </c>
      <c r="J196" s="2">
        <f t="shared" si="16"/>
        <v>79</v>
      </c>
      <c r="K196" s="2"/>
      <c r="L196" s="6">
        <v>16</v>
      </c>
      <c r="M196" s="6">
        <v>24</v>
      </c>
    </row>
    <row r="197" spans="1:13" ht="18.75" customHeight="1">
      <c r="A197" s="6" t="str">
        <f>"10522018030109272982807"</f>
        <v>10522018030109272982807</v>
      </c>
      <c r="B197" s="4">
        <v>195</v>
      </c>
      <c r="C197" s="1" t="s">
        <v>14</v>
      </c>
      <c r="D197" s="2" t="str">
        <f t="shared" si="15"/>
        <v>女</v>
      </c>
      <c r="E197" s="2" t="str">
        <f>"341621199501154740"</f>
        <v>341621199501154740</v>
      </c>
      <c r="F197" s="3" t="str">
        <f t="shared" si="14"/>
        <v>护理</v>
      </c>
      <c r="G197" s="2" t="str">
        <f>"2018011319"</f>
        <v>2018011319</v>
      </c>
      <c r="H197" s="2">
        <v>55.5</v>
      </c>
      <c r="I197" s="2">
        <v>89</v>
      </c>
      <c r="J197" s="2">
        <f t="shared" si="16"/>
        <v>78.949999999999989</v>
      </c>
      <c r="K197" s="2"/>
      <c r="L197" s="6">
        <v>13</v>
      </c>
      <c r="M197" s="6">
        <v>19</v>
      </c>
    </row>
    <row r="198" spans="1:13" ht="18.75" customHeight="1">
      <c r="A198" s="6" t="str">
        <f>"10522018022813450482601"</f>
        <v>10522018022813450482601</v>
      </c>
      <c r="B198" s="4">
        <v>196</v>
      </c>
      <c r="C198" s="1" t="s">
        <v>14</v>
      </c>
      <c r="D198" s="2" t="str">
        <f t="shared" si="15"/>
        <v>女</v>
      </c>
      <c r="E198" s="2" t="str">
        <f>"341621199601162764"</f>
        <v>341621199601162764</v>
      </c>
      <c r="F198" s="3" t="str">
        <f t="shared" si="14"/>
        <v>护理</v>
      </c>
      <c r="G198" s="2" t="str">
        <f>"2018011810"</f>
        <v>2018011810</v>
      </c>
      <c r="H198" s="2">
        <v>55.5</v>
      </c>
      <c r="I198" s="2">
        <v>89</v>
      </c>
      <c r="J198" s="2">
        <f t="shared" si="16"/>
        <v>78.949999999999989</v>
      </c>
      <c r="K198" s="2"/>
      <c r="L198" s="6">
        <v>18</v>
      </c>
      <c r="M198" s="6">
        <v>10</v>
      </c>
    </row>
    <row r="199" spans="1:13" ht="18.75" customHeight="1">
      <c r="A199" s="6" t="str">
        <f>"10522018022620531782075"</f>
        <v>10522018022620531782075</v>
      </c>
      <c r="B199" s="4">
        <v>197</v>
      </c>
      <c r="C199" s="1" t="s">
        <v>14</v>
      </c>
      <c r="D199" s="2" t="str">
        <f t="shared" si="15"/>
        <v>女</v>
      </c>
      <c r="E199" s="2" t="str">
        <f>"341223199601231927"</f>
        <v>341223199601231927</v>
      </c>
      <c r="F199" s="3" t="str">
        <f t="shared" si="14"/>
        <v>护理</v>
      </c>
      <c r="G199" s="2" t="str">
        <f>"2018011206"</f>
        <v>2018011206</v>
      </c>
      <c r="H199" s="2">
        <v>32</v>
      </c>
      <c r="I199" s="2">
        <v>99</v>
      </c>
      <c r="J199" s="2">
        <f t="shared" si="16"/>
        <v>78.899999999999991</v>
      </c>
      <c r="K199" s="2"/>
      <c r="L199" s="6">
        <v>12</v>
      </c>
      <c r="M199" s="6">
        <v>6</v>
      </c>
    </row>
    <row r="200" spans="1:13" ht="18.75" customHeight="1">
      <c r="A200" s="6" t="str">
        <f>"10522018022620521782073"</f>
        <v>10522018022620521782073</v>
      </c>
      <c r="B200" s="4">
        <v>198</v>
      </c>
      <c r="C200" s="1" t="s">
        <v>14</v>
      </c>
      <c r="D200" s="2" t="str">
        <f t="shared" si="15"/>
        <v>女</v>
      </c>
      <c r="E200" s="2" t="str">
        <f>"341227199305065640"</f>
        <v>341227199305065640</v>
      </c>
      <c r="F200" s="3" t="str">
        <f t="shared" si="14"/>
        <v>护理</v>
      </c>
      <c r="G200" s="2" t="str">
        <f>"2018011713"</f>
        <v>2018011713</v>
      </c>
      <c r="H200" s="2">
        <v>39</v>
      </c>
      <c r="I200" s="2">
        <v>96</v>
      </c>
      <c r="J200" s="2">
        <f t="shared" si="16"/>
        <v>78.899999999999991</v>
      </c>
      <c r="K200" s="2"/>
      <c r="L200" s="6">
        <v>17</v>
      </c>
      <c r="M200" s="6">
        <v>13</v>
      </c>
    </row>
    <row r="201" spans="1:13" ht="18.75" customHeight="1">
      <c r="A201" s="6" t="str">
        <f>"10522018022709254082145"</f>
        <v>10522018022709254082145</v>
      </c>
      <c r="B201" s="4">
        <v>199</v>
      </c>
      <c r="C201" s="1" t="s">
        <v>14</v>
      </c>
      <c r="D201" s="2" t="str">
        <f t="shared" si="15"/>
        <v>女</v>
      </c>
      <c r="E201" s="2" t="str">
        <f>"34162319960703482X"</f>
        <v>34162319960703482X</v>
      </c>
      <c r="F201" s="3" t="str">
        <f t="shared" si="14"/>
        <v>护理</v>
      </c>
      <c r="G201" s="2" t="str">
        <f>"2018011817"</f>
        <v>2018011817</v>
      </c>
      <c r="H201" s="2">
        <v>36.5</v>
      </c>
      <c r="I201" s="2">
        <v>97</v>
      </c>
      <c r="J201" s="2">
        <f t="shared" si="16"/>
        <v>78.849999999999994</v>
      </c>
      <c r="K201" s="2"/>
      <c r="L201" s="6">
        <v>18</v>
      </c>
      <c r="M201" s="6">
        <v>17</v>
      </c>
    </row>
    <row r="202" spans="1:13" ht="18.75" customHeight="1">
      <c r="A202" s="6" t="str">
        <f>"10522018022615442381925"</f>
        <v>10522018022615442381925</v>
      </c>
      <c r="B202" s="4">
        <v>200</v>
      </c>
      <c r="C202" s="1" t="s">
        <v>14</v>
      </c>
      <c r="D202" s="2" t="str">
        <f t="shared" si="15"/>
        <v>女</v>
      </c>
      <c r="E202" s="2" t="str">
        <f>"341226199303124487"</f>
        <v>341226199303124487</v>
      </c>
      <c r="F202" s="3" t="str">
        <f t="shared" si="14"/>
        <v>护理</v>
      </c>
      <c r="G202" s="2" t="str">
        <f>"2018011611"</f>
        <v>2018011611</v>
      </c>
      <c r="H202" s="2">
        <v>38.5</v>
      </c>
      <c r="I202" s="2">
        <v>96</v>
      </c>
      <c r="J202" s="2">
        <f t="shared" si="16"/>
        <v>78.749999999999986</v>
      </c>
      <c r="K202" s="2"/>
      <c r="L202" s="6">
        <v>16</v>
      </c>
      <c r="M202" s="6">
        <v>11</v>
      </c>
    </row>
    <row r="203" spans="1:13" ht="18.75" customHeight="1">
      <c r="A203" s="6" t="str">
        <f>"10522018030211272283115"</f>
        <v>10522018030211272283115</v>
      </c>
      <c r="B203" s="4">
        <v>201</v>
      </c>
      <c r="C203" s="1" t="s">
        <v>14</v>
      </c>
      <c r="D203" s="2" t="str">
        <f t="shared" si="15"/>
        <v>女</v>
      </c>
      <c r="E203" s="2" t="str">
        <f>"341225199604166625"</f>
        <v>341225199604166625</v>
      </c>
      <c r="F203" s="3" t="str">
        <f t="shared" si="14"/>
        <v>护理</v>
      </c>
      <c r="G203" s="2" t="str">
        <f>"2018012110"</f>
        <v>2018012110</v>
      </c>
      <c r="H203" s="2">
        <v>29</v>
      </c>
      <c r="I203" s="2">
        <v>100</v>
      </c>
      <c r="J203" s="2">
        <f t="shared" si="16"/>
        <v>78.7</v>
      </c>
      <c r="K203" s="2"/>
      <c r="L203" s="6">
        <v>21</v>
      </c>
      <c r="M203" s="6">
        <v>10</v>
      </c>
    </row>
    <row r="204" spans="1:13" ht="18.75" customHeight="1">
      <c r="A204" s="6" t="str">
        <f>"10522018022821452182753"</f>
        <v>10522018022821452182753</v>
      </c>
      <c r="B204" s="4">
        <v>202</v>
      </c>
      <c r="C204" s="1" t="s">
        <v>14</v>
      </c>
      <c r="D204" s="2" t="str">
        <f t="shared" si="15"/>
        <v>女</v>
      </c>
      <c r="E204" s="2" t="str">
        <f>"341623199303138064"</f>
        <v>341623199303138064</v>
      </c>
      <c r="F204" s="3" t="str">
        <f t="shared" si="14"/>
        <v>护理</v>
      </c>
      <c r="G204" s="2" t="str">
        <f>"2018011514"</f>
        <v>2018011514</v>
      </c>
      <c r="H204" s="2">
        <v>36</v>
      </c>
      <c r="I204" s="2">
        <v>97</v>
      </c>
      <c r="J204" s="2">
        <f t="shared" si="16"/>
        <v>78.699999999999989</v>
      </c>
      <c r="K204" s="2"/>
      <c r="L204" s="6">
        <v>15</v>
      </c>
      <c r="M204" s="6">
        <v>14</v>
      </c>
    </row>
    <row r="205" spans="1:13" ht="18.75" customHeight="1">
      <c r="A205" s="6" t="str">
        <f>"10522018022722505982444"</f>
        <v>10522018022722505982444</v>
      </c>
      <c r="B205" s="4">
        <v>203</v>
      </c>
      <c r="C205" s="1" t="s">
        <v>14</v>
      </c>
      <c r="D205" s="2" t="str">
        <f t="shared" si="15"/>
        <v>女</v>
      </c>
      <c r="E205" s="2" t="str">
        <f>"34222519950908282X"</f>
        <v>34222519950908282X</v>
      </c>
      <c r="F205" s="3" t="str">
        <f t="shared" si="14"/>
        <v>护理</v>
      </c>
      <c r="G205" s="2" t="str">
        <f>"2018011328"</f>
        <v>2018011328</v>
      </c>
      <c r="H205" s="2">
        <v>54.5</v>
      </c>
      <c r="I205" s="2">
        <v>89</v>
      </c>
      <c r="J205" s="2">
        <f t="shared" si="16"/>
        <v>78.649999999999991</v>
      </c>
      <c r="K205" s="2"/>
      <c r="L205" s="6">
        <v>13</v>
      </c>
      <c r="M205" s="6">
        <v>28</v>
      </c>
    </row>
    <row r="206" spans="1:13" ht="18.75" customHeight="1">
      <c r="A206" s="6" t="str">
        <f>"10522018022610343181687"</f>
        <v>10522018022610343181687</v>
      </c>
      <c r="B206" s="4">
        <v>204</v>
      </c>
      <c r="C206" s="1" t="s">
        <v>14</v>
      </c>
      <c r="D206" s="2" t="str">
        <f t="shared" si="15"/>
        <v>女</v>
      </c>
      <c r="E206" s="2" t="str">
        <f>"341621199401094322"</f>
        <v>341621199401094322</v>
      </c>
      <c r="F206" s="3" t="str">
        <f t="shared" ref="F206:F230" si="17">"护理"</f>
        <v>护理</v>
      </c>
      <c r="G206" s="2" t="str">
        <f>"2018011619"</f>
        <v>2018011619</v>
      </c>
      <c r="H206" s="2">
        <v>31</v>
      </c>
      <c r="I206" s="2">
        <v>99</v>
      </c>
      <c r="J206" s="2">
        <f t="shared" si="16"/>
        <v>78.599999999999994</v>
      </c>
      <c r="K206" s="2"/>
      <c r="L206" s="6">
        <v>16</v>
      </c>
      <c r="M206" s="6">
        <v>19</v>
      </c>
    </row>
    <row r="207" spans="1:13" ht="18.75" customHeight="1">
      <c r="A207" s="6" t="str">
        <f>"10522018022623533882116"</f>
        <v>10522018022623533882116</v>
      </c>
      <c r="B207" s="4">
        <v>205</v>
      </c>
      <c r="C207" s="1" t="s">
        <v>14</v>
      </c>
      <c r="D207" s="2" t="str">
        <f t="shared" ref="D207:D230" si="18">"女"</f>
        <v>女</v>
      </c>
      <c r="E207" s="2" t="str">
        <f>"341623199612081524"</f>
        <v>341623199612081524</v>
      </c>
      <c r="F207" s="3" t="str">
        <f t="shared" si="17"/>
        <v>护理</v>
      </c>
      <c r="G207" s="2" t="str">
        <f>"2018012006"</f>
        <v>2018012006</v>
      </c>
      <c r="H207" s="2">
        <v>51.5</v>
      </c>
      <c r="I207" s="2">
        <v>90</v>
      </c>
      <c r="J207" s="2">
        <f t="shared" si="16"/>
        <v>78.449999999999989</v>
      </c>
      <c r="K207" s="2"/>
      <c r="L207" s="6">
        <v>20</v>
      </c>
      <c r="M207" s="6">
        <v>6</v>
      </c>
    </row>
    <row r="208" spans="1:13" ht="18.75" customHeight="1">
      <c r="A208" s="6" t="str">
        <f>"10522018022610110181658"</f>
        <v>10522018022610110181658</v>
      </c>
      <c r="B208" s="4">
        <v>206</v>
      </c>
      <c r="C208" s="1" t="s">
        <v>14</v>
      </c>
      <c r="D208" s="2" t="str">
        <f t="shared" si="18"/>
        <v>女</v>
      </c>
      <c r="E208" s="2" t="str">
        <f>"341227199502132646"</f>
        <v>341227199502132646</v>
      </c>
      <c r="F208" s="3" t="str">
        <f t="shared" si="17"/>
        <v>护理</v>
      </c>
      <c r="G208" s="2" t="str">
        <f>"2018010901"</f>
        <v>2018010901</v>
      </c>
      <c r="H208" s="2">
        <v>49</v>
      </c>
      <c r="I208" s="2">
        <v>91</v>
      </c>
      <c r="J208" s="2">
        <f t="shared" si="16"/>
        <v>78.399999999999991</v>
      </c>
      <c r="K208" s="2"/>
      <c r="L208" s="6">
        <v>9</v>
      </c>
      <c r="M208" s="6">
        <v>1</v>
      </c>
    </row>
    <row r="209" spans="1:13" ht="18.75" customHeight="1">
      <c r="A209" s="6" t="str">
        <f>"10522018022710544982187"</f>
        <v>10522018022710544982187</v>
      </c>
      <c r="B209" s="4">
        <v>207</v>
      </c>
      <c r="C209" s="1" t="s">
        <v>14</v>
      </c>
      <c r="D209" s="2" t="str">
        <f t="shared" si="18"/>
        <v>女</v>
      </c>
      <c r="E209" s="2" t="str">
        <f>"341623199504102324"</f>
        <v>341623199504102324</v>
      </c>
      <c r="F209" s="3" t="str">
        <f t="shared" si="17"/>
        <v>护理</v>
      </c>
      <c r="G209" s="2" t="str">
        <f>"2018011915"</f>
        <v>2018011915</v>
      </c>
      <c r="H209" s="2">
        <v>42</v>
      </c>
      <c r="I209" s="2">
        <v>94</v>
      </c>
      <c r="J209" s="2">
        <f t="shared" si="16"/>
        <v>78.399999999999991</v>
      </c>
      <c r="K209" s="2"/>
      <c r="L209" s="6">
        <v>19</v>
      </c>
      <c r="M209" s="6">
        <v>15</v>
      </c>
    </row>
    <row r="210" spans="1:13" ht="18.75" customHeight="1">
      <c r="A210" s="6" t="str">
        <f>"10522018022714243482261"</f>
        <v>10522018022714243482261</v>
      </c>
      <c r="B210" s="4">
        <v>208</v>
      </c>
      <c r="C210" s="1" t="s">
        <v>14</v>
      </c>
      <c r="D210" s="2" t="str">
        <f t="shared" si="18"/>
        <v>女</v>
      </c>
      <c r="E210" s="2" t="str">
        <f>"341623199701257624"</f>
        <v>341623199701257624</v>
      </c>
      <c r="F210" s="3" t="str">
        <f t="shared" si="17"/>
        <v>护理</v>
      </c>
      <c r="G210" s="2" t="str">
        <f>"2018012121"</f>
        <v>2018012121</v>
      </c>
      <c r="H210" s="2">
        <v>39.5</v>
      </c>
      <c r="I210" s="2">
        <v>95</v>
      </c>
      <c r="J210" s="2">
        <f t="shared" si="16"/>
        <v>78.349999999999994</v>
      </c>
      <c r="K210" s="2"/>
      <c r="L210" s="6">
        <v>21</v>
      </c>
      <c r="M210" s="6">
        <v>21</v>
      </c>
    </row>
    <row r="211" spans="1:13" ht="18.75" customHeight="1">
      <c r="A211" s="6" t="str">
        <f>"10522018022812454982567"</f>
        <v>10522018022812454982567</v>
      </c>
      <c r="B211" s="4">
        <v>209</v>
      </c>
      <c r="C211" s="1" t="s">
        <v>14</v>
      </c>
      <c r="D211" s="2" t="str">
        <f t="shared" si="18"/>
        <v>女</v>
      </c>
      <c r="E211" s="2" t="str">
        <f>"341621199707290027"</f>
        <v>341621199707290027</v>
      </c>
      <c r="F211" s="3" t="str">
        <f t="shared" si="17"/>
        <v>护理</v>
      </c>
      <c r="G211" s="2" t="str">
        <f>"2018010730"</f>
        <v>2018010730</v>
      </c>
      <c r="H211" s="2">
        <v>39</v>
      </c>
      <c r="I211" s="2">
        <v>95</v>
      </c>
      <c r="J211" s="2">
        <f t="shared" si="16"/>
        <v>78.2</v>
      </c>
      <c r="K211" s="2"/>
      <c r="L211" s="6">
        <v>7</v>
      </c>
      <c r="M211" s="6">
        <v>30</v>
      </c>
    </row>
    <row r="212" spans="1:13" ht="18.75" customHeight="1">
      <c r="A212" s="6" t="str">
        <f>"10522018022610460781708"</f>
        <v>10522018022610460781708</v>
      </c>
      <c r="B212" s="4">
        <v>210</v>
      </c>
      <c r="C212" s="1" t="s">
        <v>14</v>
      </c>
      <c r="D212" s="2" t="str">
        <f t="shared" si="18"/>
        <v>女</v>
      </c>
      <c r="E212" s="2" t="str">
        <f>"341621199512241524"</f>
        <v>341621199512241524</v>
      </c>
      <c r="F212" s="3" t="str">
        <f t="shared" si="17"/>
        <v>护理</v>
      </c>
      <c r="G212" s="2" t="str">
        <f>"2018010616"</f>
        <v>2018010616</v>
      </c>
      <c r="H212" s="2">
        <v>46</v>
      </c>
      <c r="I212" s="2">
        <v>92</v>
      </c>
      <c r="J212" s="2">
        <f t="shared" si="16"/>
        <v>78.199999999999989</v>
      </c>
      <c r="K212" s="2"/>
      <c r="L212" s="6">
        <v>6</v>
      </c>
      <c r="M212" s="6">
        <v>16</v>
      </c>
    </row>
    <row r="213" spans="1:13" ht="18.75" customHeight="1">
      <c r="A213" s="6" t="str">
        <f>"10522018022718560882342"</f>
        <v>10522018022718560882342</v>
      </c>
      <c r="B213" s="4">
        <v>211</v>
      </c>
      <c r="C213" s="1" t="s">
        <v>14</v>
      </c>
      <c r="D213" s="2" t="str">
        <f t="shared" si="18"/>
        <v>女</v>
      </c>
      <c r="E213" s="2" t="str">
        <f>"341226199708095549"</f>
        <v>341226199708095549</v>
      </c>
      <c r="F213" s="3" t="str">
        <f t="shared" si="17"/>
        <v>护理</v>
      </c>
      <c r="G213" s="2" t="str">
        <f>"2018012111"</f>
        <v>2018012111</v>
      </c>
      <c r="H213" s="2">
        <v>34</v>
      </c>
      <c r="I213" s="2">
        <v>97</v>
      </c>
      <c r="J213" s="2">
        <f t="shared" si="16"/>
        <v>78.099999999999994</v>
      </c>
      <c r="K213" s="2"/>
      <c r="L213" s="6">
        <v>21</v>
      </c>
      <c r="M213" s="6">
        <v>11</v>
      </c>
    </row>
    <row r="214" spans="1:13" ht="18.75" customHeight="1">
      <c r="A214" s="6" t="str">
        <f>"10522018022610285781676"</f>
        <v>10522018022610285781676</v>
      </c>
      <c r="B214" s="4">
        <v>212</v>
      </c>
      <c r="C214" s="1" t="s">
        <v>14</v>
      </c>
      <c r="D214" s="2" t="str">
        <f t="shared" si="18"/>
        <v>女</v>
      </c>
      <c r="E214" s="2" t="str">
        <f>"34122719941117762X"</f>
        <v>34122719941117762X</v>
      </c>
      <c r="F214" s="3" t="str">
        <f t="shared" si="17"/>
        <v>护理</v>
      </c>
      <c r="G214" s="2" t="str">
        <f>"2018010702"</f>
        <v>2018010702</v>
      </c>
      <c r="H214" s="2">
        <v>43</v>
      </c>
      <c r="I214" s="2">
        <v>93</v>
      </c>
      <c r="J214" s="2">
        <f t="shared" si="16"/>
        <v>78</v>
      </c>
      <c r="K214" s="2"/>
      <c r="L214" s="6">
        <v>7</v>
      </c>
      <c r="M214" s="6">
        <v>2</v>
      </c>
    </row>
    <row r="215" spans="1:13" ht="18.75" customHeight="1">
      <c r="A215" s="6" t="str">
        <f>"10522018030115533082937"</f>
        <v>10522018030115533082937</v>
      </c>
      <c r="B215" s="4">
        <v>213</v>
      </c>
      <c r="C215" s="1" t="s">
        <v>14</v>
      </c>
      <c r="D215" s="2" t="str">
        <f t="shared" si="18"/>
        <v>女</v>
      </c>
      <c r="E215" s="2" t="str">
        <f>"341224199405103027"</f>
        <v>341224199405103027</v>
      </c>
      <c r="F215" s="3" t="str">
        <f t="shared" si="17"/>
        <v>护理</v>
      </c>
      <c r="G215" s="2" t="str">
        <f>"2018011802"</f>
        <v>2018011802</v>
      </c>
      <c r="H215" s="2">
        <v>50</v>
      </c>
      <c r="I215" s="2">
        <v>90</v>
      </c>
      <c r="J215" s="2">
        <f t="shared" si="16"/>
        <v>78</v>
      </c>
      <c r="K215" s="2"/>
      <c r="L215" s="6">
        <v>18</v>
      </c>
      <c r="M215" s="6">
        <v>2</v>
      </c>
    </row>
    <row r="216" spans="1:13" ht="18.75" customHeight="1">
      <c r="A216" s="6" t="str">
        <f>"10522018022613593781864"</f>
        <v>10522018022613593781864</v>
      </c>
      <c r="B216" s="4">
        <v>214</v>
      </c>
      <c r="C216" s="1" t="s">
        <v>14</v>
      </c>
      <c r="D216" s="2" t="str">
        <f t="shared" si="18"/>
        <v>女</v>
      </c>
      <c r="E216" s="2" t="str">
        <f>"341227199410109561"</f>
        <v>341227199410109561</v>
      </c>
      <c r="F216" s="3" t="str">
        <f t="shared" si="17"/>
        <v>护理</v>
      </c>
      <c r="G216" s="2" t="str">
        <f>"2018010801"</f>
        <v>2018010801</v>
      </c>
      <c r="H216" s="2">
        <v>33.5</v>
      </c>
      <c r="I216" s="2">
        <v>97</v>
      </c>
      <c r="J216" s="2">
        <f t="shared" si="16"/>
        <v>77.949999999999989</v>
      </c>
      <c r="K216" s="2"/>
      <c r="L216" s="6">
        <v>8</v>
      </c>
      <c r="M216" s="6">
        <v>1</v>
      </c>
    </row>
    <row r="217" spans="1:13" ht="18.75" customHeight="1">
      <c r="A217" s="6" t="str">
        <f>"10522018022613371281851"</f>
        <v>10522018022613371281851</v>
      </c>
      <c r="B217" s="4">
        <v>215</v>
      </c>
      <c r="C217" s="1" t="s">
        <v>14</v>
      </c>
      <c r="D217" s="2" t="str">
        <f t="shared" si="18"/>
        <v>女</v>
      </c>
      <c r="E217" s="2" t="str">
        <f>"341281199703014644"</f>
        <v>341281199703014644</v>
      </c>
      <c r="F217" s="3" t="str">
        <f t="shared" si="17"/>
        <v>护理</v>
      </c>
      <c r="G217" s="2" t="str">
        <f>"2018010913"</f>
        <v>2018010913</v>
      </c>
      <c r="H217" s="2">
        <v>42.5</v>
      </c>
      <c r="I217" s="2">
        <v>93</v>
      </c>
      <c r="J217" s="2">
        <f t="shared" si="16"/>
        <v>77.849999999999994</v>
      </c>
      <c r="K217" s="2"/>
      <c r="L217" s="6">
        <v>9</v>
      </c>
      <c r="M217" s="6">
        <v>13</v>
      </c>
    </row>
    <row r="218" spans="1:13" ht="18.75" customHeight="1">
      <c r="A218" s="6" t="str">
        <f>"10522018022712001482207"</f>
        <v>10522018022712001482207</v>
      </c>
      <c r="B218" s="4">
        <v>216</v>
      </c>
      <c r="C218" s="1" t="s">
        <v>14</v>
      </c>
      <c r="D218" s="2" t="str">
        <f t="shared" si="18"/>
        <v>女</v>
      </c>
      <c r="E218" s="2" t="str">
        <f>"341227199401082344"</f>
        <v>341227199401082344</v>
      </c>
      <c r="F218" s="3" t="str">
        <f t="shared" si="17"/>
        <v>护理</v>
      </c>
      <c r="G218" s="2" t="str">
        <f>"2018011212"</f>
        <v>2018011212</v>
      </c>
      <c r="H218" s="2">
        <v>30.5</v>
      </c>
      <c r="I218" s="2">
        <v>98</v>
      </c>
      <c r="J218" s="2">
        <f t="shared" si="16"/>
        <v>77.75</v>
      </c>
      <c r="K218" s="2"/>
      <c r="L218" s="6">
        <v>12</v>
      </c>
      <c r="M218" s="6">
        <v>12</v>
      </c>
    </row>
    <row r="219" spans="1:13" ht="18.75" customHeight="1">
      <c r="A219" s="6" t="str">
        <f>"10522018030208461283074"</f>
        <v>10522018030208461283074</v>
      </c>
      <c r="B219" s="4">
        <v>217</v>
      </c>
      <c r="C219" s="1" t="s">
        <v>14</v>
      </c>
      <c r="D219" s="2" t="str">
        <f t="shared" si="18"/>
        <v>女</v>
      </c>
      <c r="E219" s="2" t="str">
        <f>"341221199409094640"</f>
        <v>341221199409094640</v>
      </c>
      <c r="F219" s="3" t="str">
        <f t="shared" si="17"/>
        <v>护理</v>
      </c>
      <c r="G219" s="2" t="str">
        <f>"2018011901"</f>
        <v>2018011901</v>
      </c>
      <c r="H219" s="2">
        <v>44.5</v>
      </c>
      <c r="I219" s="2">
        <v>92</v>
      </c>
      <c r="J219" s="2">
        <f t="shared" si="16"/>
        <v>77.749999999999986</v>
      </c>
      <c r="K219" s="2"/>
      <c r="L219" s="6">
        <v>19</v>
      </c>
      <c r="M219" s="6">
        <v>1</v>
      </c>
    </row>
    <row r="220" spans="1:13" ht="18.75" customHeight="1">
      <c r="A220" s="6" t="str">
        <f>"10522018022611564181774"</f>
        <v>10522018022611564181774</v>
      </c>
      <c r="B220" s="4">
        <v>218</v>
      </c>
      <c r="C220" s="1" t="s">
        <v>14</v>
      </c>
      <c r="D220" s="2" t="str">
        <f t="shared" si="18"/>
        <v>女</v>
      </c>
      <c r="E220" s="2" t="str">
        <f>"341621199703133729"</f>
        <v>341621199703133729</v>
      </c>
      <c r="F220" s="3" t="str">
        <f t="shared" si="17"/>
        <v>护理</v>
      </c>
      <c r="G220" s="2" t="str">
        <f>"2018011919"</f>
        <v>2018011919</v>
      </c>
      <c r="H220" s="2">
        <v>28</v>
      </c>
      <c r="I220" s="2">
        <v>99</v>
      </c>
      <c r="J220" s="2">
        <f t="shared" si="16"/>
        <v>77.7</v>
      </c>
      <c r="K220" s="2"/>
      <c r="L220" s="6">
        <v>19</v>
      </c>
      <c r="M220" s="6">
        <v>19</v>
      </c>
    </row>
    <row r="221" spans="1:13" ht="18.75" customHeight="1">
      <c r="A221" s="6" t="str">
        <f>"10522018022613211081835"</f>
        <v>10522018022613211081835</v>
      </c>
      <c r="B221" s="4">
        <v>219</v>
      </c>
      <c r="C221" s="1" t="s">
        <v>14</v>
      </c>
      <c r="D221" s="2" t="str">
        <f t="shared" si="18"/>
        <v>女</v>
      </c>
      <c r="E221" s="2" t="str">
        <f>"341623199911011542"</f>
        <v>341623199911011542</v>
      </c>
      <c r="F221" s="3" t="str">
        <f t="shared" si="17"/>
        <v>护理</v>
      </c>
      <c r="G221" s="2" t="str">
        <f>"2018011723"</f>
        <v>2018011723</v>
      </c>
      <c r="H221" s="2">
        <v>46</v>
      </c>
      <c r="I221" s="2">
        <v>91</v>
      </c>
      <c r="J221" s="2">
        <f t="shared" si="16"/>
        <v>77.5</v>
      </c>
      <c r="K221" s="2"/>
      <c r="L221" s="6">
        <v>17</v>
      </c>
      <c r="M221" s="6">
        <v>23</v>
      </c>
    </row>
    <row r="222" spans="1:13" ht="18.75" customHeight="1">
      <c r="A222" s="6" t="str">
        <f>"10522018022609351881618"</f>
        <v>10522018022609351881618</v>
      </c>
      <c r="B222" s="4">
        <v>220</v>
      </c>
      <c r="C222" s="1" t="s">
        <v>14</v>
      </c>
      <c r="D222" s="2" t="str">
        <f t="shared" si="18"/>
        <v>女</v>
      </c>
      <c r="E222" s="2" t="str">
        <f>"341623199610235622"</f>
        <v>341623199610235622</v>
      </c>
      <c r="F222" s="3" t="str">
        <f t="shared" si="17"/>
        <v>护理</v>
      </c>
      <c r="G222" s="2" t="str">
        <f>"2018011127"</f>
        <v>2018011127</v>
      </c>
      <c r="H222" s="2">
        <v>29.5</v>
      </c>
      <c r="I222" s="2">
        <v>98</v>
      </c>
      <c r="J222" s="2">
        <f t="shared" si="16"/>
        <v>77.449999999999989</v>
      </c>
      <c r="K222" s="2"/>
      <c r="L222" s="6">
        <v>11</v>
      </c>
      <c r="M222" s="6">
        <v>27</v>
      </c>
    </row>
    <row r="223" spans="1:13" ht="18.75" customHeight="1">
      <c r="A223" s="6" t="str">
        <f>"10522018022617050481973"</f>
        <v>10522018022617050481973</v>
      </c>
      <c r="B223" s="4">
        <v>221</v>
      </c>
      <c r="C223" s="1" t="s">
        <v>14</v>
      </c>
      <c r="D223" s="2" t="str">
        <f t="shared" si="18"/>
        <v>女</v>
      </c>
      <c r="E223" s="2" t="str">
        <f>"341623199604035640"</f>
        <v>341623199604035640</v>
      </c>
      <c r="F223" s="3" t="str">
        <f t="shared" si="17"/>
        <v>护理</v>
      </c>
      <c r="G223" s="2" t="str">
        <f>"2018010810"</f>
        <v>2018010810</v>
      </c>
      <c r="H223" s="2">
        <v>52.5</v>
      </c>
      <c r="I223" s="2">
        <v>88</v>
      </c>
      <c r="J223" s="2">
        <f t="shared" si="16"/>
        <v>77.349999999999994</v>
      </c>
      <c r="K223" s="2"/>
      <c r="L223" s="6">
        <v>8</v>
      </c>
      <c r="M223" s="6">
        <v>10</v>
      </c>
    </row>
    <row r="224" spans="1:13" ht="18.75" customHeight="1">
      <c r="A224" s="6" t="str">
        <f>"10522018022610435581705"</f>
        <v>10522018022610435581705</v>
      </c>
      <c r="B224" s="4">
        <v>222</v>
      </c>
      <c r="C224" s="1" t="s">
        <v>14</v>
      </c>
      <c r="D224" s="2" t="str">
        <f t="shared" si="18"/>
        <v>女</v>
      </c>
      <c r="E224" s="2" t="str">
        <f>"341281199502027203"</f>
        <v>341281199502027203</v>
      </c>
      <c r="F224" s="3" t="str">
        <f t="shared" si="17"/>
        <v>护理</v>
      </c>
      <c r="G224" s="2" t="str">
        <f>"2018011011"</f>
        <v>2018011011</v>
      </c>
      <c r="H224" s="2">
        <v>31.5</v>
      </c>
      <c r="I224" s="2">
        <v>97</v>
      </c>
      <c r="J224" s="2">
        <f t="shared" si="16"/>
        <v>77.349999999999994</v>
      </c>
      <c r="K224" s="2"/>
      <c r="L224" s="6">
        <v>10</v>
      </c>
      <c r="M224" s="6">
        <v>11</v>
      </c>
    </row>
    <row r="225" spans="1:13" ht="18.75" customHeight="1">
      <c r="A225" s="6" t="str">
        <f>"10522018022808551482472"</f>
        <v>10522018022808551482472</v>
      </c>
      <c r="B225" s="4">
        <v>223</v>
      </c>
      <c r="C225" s="1" t="s">
        <v>14</v>
      </c>
      <c r="D225" s="2" t="str">
        <f t="shared" si="18"/>
        <v>女</v>
      </c>
      <c r="E225" s="2" t="str">
        <f>"34122319970415192X"</f>
        <v>34122319970415192X</v>
      </c>
      <c r="F225" s="3" t="str">
        <f t="shared" si="17"/>
        <v>护理</v>
      </c>
      <c r="G225" s="2" t="str">
        <f>"2018010905"</f>
        <v>2018010905</v>
      </c>
      <c r="H225" s="2">
        <v>47.5</v>
      </c>
      <c r="I225" s="2">
        <v>90</v>
      </c>
      <c r="J225" s="2">
        <f t="shared" si="16"/>
        <v>77.25</v>
      </c>
      <c r="K225" s="2"/>
      <c r="L225" s="6">
        <v>9</v>
      </c>
      <c r="M225" s="6">
        <v>5</v>
      </c>
    </row>
    <row r="226" spans="1:13" ht="18.75" customHeight="1">
      <c r="A226" s="6" t="str">
        <f>"10522018022617470281994"</f>
        <v>10522018022617470281994</v>
      </c>
      <c r="B226" s="4">
        <v>224</v>
      </c>
      <c r="C226" s="1" t="s">
        <v>14</v>
      </c>
      <c r="D226" s="2" t="str">
        <f t="shared" si="18"/>
        <v>女</v>
      </c>
      <c r="E226" s="2" t="str">
        <f>"341223199705133125"</f>
        <v>341223199705133125</v>
      </c>
      <c r="F226" s="3" t="str">
        <f t="shared" si="17"/>
        <v>护理</v>
      </c>
      <c r="G226" s="2" t="str">
        <f>"2018010908"</f>
        <v>2018010908</v>
      </c>
      <c r="H226" s="2">
        <v>40.5</v>
      </c>
      <c r="I226" s="2">
        <v>93</v>
      </c>
      <c r="J226" s="2">
        <f t="shared" si="16"/>
        <v>77.25</v>
      </c>
      <c r="K226" s="2"/>
      <c r="L226" s="6">
        <v>9</v>
      </c>
      <c r="M226" s="6">
        <v>8</v>
      </c>
    </row>
    <row r="227" spans="1:13" ht="18.75" customHeight="1">
      <c r="A227" s="6" t="str">
        <f>"10522018022811451182549"</f>
        <v>10522018022811451182549</v>
      </c>
      <c r="B227" s="4">
        <v>225</v>
      </c>
      <c r="C227" s="1" t="s">
        <v>14</v>
      </c>
      <c r="D227" s="2" t="str">
        <f t="shared" si="18"/>
        <v>女</v>
      </c>
      <c r="E227" s="2" t="str">
        <f>"341204199402011287"</f>
        <v>341204199402011287</v>
      </c>
      <c r="F227" s="3" t="str">
        <f t="shared" si="17"/>
        <v>护理</v>
      </c>
      <c r="G227" s="2" t="str">
        <f>"2018011729"</f>
        <v>2018011729</v>
      </c>
      <c r="H227" s="2">
        <v>38</v>
      </c>
      <c r="I227" s="2">
        <v>94</v>
      </c>
      <c r="J227" s="2">
        <f t="shared" si="16"/>
        <v>77.2</v>
      </c>
      <c r="K227" s="2"/>
      <c r="L227" s="6">
        <v>17</v>
      </c>
      <c r="M227" s="6">
        <v>29</v>
      </c>
    </row>
    <row r="228" spans="1:13" ht="18.75" customHeight="1">
      <c r="A228" s="6" t="str">
        <f>"10522018030117584482980"</f>
        <v>10522018030117584482980</v>
      </c>
      <c r="B228" s="4">
        <v>226</v>
      </c>
      <c r="C228" s="1" t="s">
        <v>14</v>
      </c>
      <c r="D228" s="2" t="str">
        <f t="shared" si="18"/>
        <v>女</v>
      </c>
      <c r="E228" s="2" t="str">
        <f>"341623199703130723"</f>
        <v>341623199703130723</v>
      </c>
      <c r="F228" s="3" t="str">
        <f t="shared" si="17"/>
        <v>护理</v>
      </c>
      <c r="G228" s="2" t="str">
        <f>"2018011102"</f>
        <v>2018011102</v>
      </c>
      <c r="H228" s="2">
        <v>31</v>
      </c>
      <c r="I228" s="2">
        <v>97</v>
      </c>
      <c r="J228" s="2">
        <f t="shared" si="16"/>
        <v>77.199999999999989</v>
      </c>
      <c r="K228" s="2"/>
      <c r="L228" s="6">
        <v>11</v>
      </c>
      <c r="M228" s="6">
        <v>2</v>
      </c>
    </row>
    <row r="229" spans="1:13" ht="18.75" customHeight="1">
      <c r="A229" s="6" t="str">
        <f>"10522018022810413282518"</f>
        <v>10522018022810413282518</v>
      </c>
      <c r="B229" s="4">
        <v>227</v>
      </c>
      <c r="C229" s="1" t="s">
        <v>14</v>
      </c>
      <c r="D229" s="2" t="str">
        <f t="shared" si="18"/>
        <v>女</v>
      </c>
      <c r="E229" s="2" t="str">
        <f>"341226199609102002"</f>
        <v>341226199609102002</v>
      </c>
      <c r="F229" s="3" t="str">
        <f t="shared" si="17"/>
        <v>护理</v>
      </c>
      <c r="G229" s="2" t="str">
        <f>"2018012013"</f>
        <v>2018012013</v>
      </c>
      <c r="H229" s="2">
        <v>45</v>
      </c>
      <c r="I229" s="2">
        <v>91</v>
      </c>
      <c r="J229" s="2">
        <f t="shared" si="16"/>
        <v>77.199999999999989</v>
      </c>
      <c r="K229" s="2"/>
      <c r="L229" s="6">
        <v>20</v>
      </c>
      <c r="M229" s="6">
        <v>13</v>
      </c>
    </row>
    <row r="230" spans="1:13" ht="18.75" customHeight="1">
      <c r="A230" s="6" t="str">
        <f>"10522018022818093482679"</f>
        <v>10522018022818093482679</v>
      </c>
      <c r="B230" s="4">
        <v>228</v>
      </c>
      <c r="C230" s="1" t="s">
        <v>14</v>
      </c>
      <c r="D230" s="2" t="str">
        <f t="shared" si="18"/>
        <v>女</v>
      </c>
      <c r="E230" s="2" t="str">
        <f>"341227199606118320"</f>
        <v>341227199606118320</v>
      </c>
      <c r="F230" s="3" t="str">
        <f t="shared" si="17"/>
        <v>护理</v>
      </c>
      <c r="G230" s="2" t="str">
        <f>"2018011504"</f>
        <v>2018011504</v>
      </c>
      <c r="H230" s="2">
        <v>35.5</v>
      </c>
      <c r="I230" s="2">
        <v>95</v>
      </c>
      <c r="J230" s="2">
        <f t="shared" si="16"/>
        <v>77.150000000000006</v>
      </c>
      <c r="K230" s="2"/>
      <c r="L230" s="6">
        <v>15</v>
      </c>
      <c r="M230" s="6">
        <v>4</v>
      </c>
    </row>
    <row r="231" spans="1:13" ht="18.75" customHeight="1">
      <c r="A231" s="6" t="str">
        <f>"10522018022617234181981"</f>
        <v>10522018022617234181981</v>
      </c>
      <c r="B231" s="4">
        <v>229</v>
      </c>
      <c r="C231" s="1" t="s">
        <v>15</v>
      </c>
      <c r="D231" s="2" t="str">
        <f t="shared" ref="D231:D261" si="19">"男"</f>
        <v>男</v>
      </c>
      <c r="E231" s="2" t="str">
        <f>"341223199306073153"</f>
        <v>341223199306073153</v>
      </c>
      <c r="F231" s="3" t="str">
        <f>"护理学"</f>
        <v>护理学</v>
      </c>
      <c r="G231" s="2" t="str">
        <f>"2018012301"</f>
        <v>2018012301</v>
      </c>
      <c r="H231" s="2">
        <v>50</v>
      </c>
      <c r="I231" s="2">
        <v>107</v>
      </c>
      <c r="J231" s="2">
        <f t="shared" si="16"/>
        <v>89.899999999999991</v>
      </c>
      <c r="K231" s="2"/>
      <c r="L231" s="6">
        <v>23</v>
      </c>
      <c r="M231" s="6">
        <v>1</v>
      </c>
    </row>
    <row r="232" spans="1:13" ht="18.75" customHeight="1">
      <c r="A232" s="6" t="str">
        <f>"10522018022817584482672"</f>
        <v>10522018022817584482672</v>
      </c>
      <c r="B232" s="4">
        <v>230</v>
      </c>
      <c r="C232" s="1" t="s">
        <v>15</v>
      </c>
      <c r="D232" s="2" t="str">
        <f t="shared" si="19"/>
        <v>男</v>
      </c>
      <c r="E232" s="2" t="str">
        <f>"341621199301105119"</f>
        <v>341621199301105119</v>
      </c>
      <c r="F232" s="3" t="str">
        <f>"护理学"</f>
        <v>护理学</v>
      </c>
      <c r="G232" s="2" t="str">
        <f>"2018012310"</f>
        <v>2018012310</v>
      </c>
      <c r="H232" s="2">
        <v>61.5</v>
      </c>
      <c r="I232" s="2">
        <v>97</v>
      </c>
      <c r="J232" s="2">
        <f t="shared" si="16"/>
        <v>86.35</v>
      </c>
      <c r="K232" s="2"/>
      <c r="L232" s="6">
        <v>23</v>
      </c>
      <c r="M232" s="6">
        <v>10</v>
      </c>
    </row>
    <row r="233" spans="1:13" ht="18.75" customHeight="1">
      <c r="A233" s="6" t="str">
        <f>"10522018022812403882565"</f>
        <v>10522018022812403882565</v>
      </c>
      <c r="B233" s="4">
        <v>231</v>
      </c>
      <c r="C233" s="1" t="s">
        <v>15</v>
      </c>
      <c r="D233" s="2" t="str">
        <f t="shared" si="19"/>
        <v>男</v>
      </c>
      <c r="E233" s="2" t="str">
        <f>"341623199505293011"</f>
        <v>341623199505293011</v>
      </c>
      <c r="F233" s="3" t="str">
        <f>"护理"</f>
        <v>护理</v>
      </c>
      <c r="G233" s="2" t="str">
        <f>"2018012306"</f>
        <v>2018012306</v>
      </c>
      <c r="H233" s="2">
        <v>45.5</v>
      </c>
      <c r="I233" s="2">
        <v>101</v>
      </c>
      <c r="J233" s="2">
        <f t="shared" si="16"/>
        <v>84.35</v>
      </c>
      <c r="K233" s="2"/>
      <c r="L233" s="6">
        <v>23</v>
      </c>
      <c r="M233" s="6">
        <v>6</v>
      </c>
    </row>
    <row r="234" spans="1:13" ht="18.75" customHeight="1">
      <c r="A234" s="6" t="str">
        <f>"10522018022620010982044"</f>
        <v>10522018022620010982044</v>
      </c>
      <c r="B234" s="4">
        <v>232</v>
      </c>
      <c r="C234" s="1" t="s">
        <v>15</v>
      </c>
      <c r="D234" s="2" t="str">
        <f t="shared" si="19"/>
        <v>男</v>
      </c>
      <c r="E234" s="2" t="str">
        <f>"341281199701180470"</f>
        <v>341281199701180470</v>
      </c>
      <c r="F234" s="3" t="str">
        <f>"护理"</f>
        <v>护理</v>
      </c>
      <c r="G234" s="2" t="str">
        <f>"2018012325"</f>
        <v>2018012325</v>
      </c>
      <c r="H234" s="2">
        <v>52</v>
      </c>
      <c r="I234" s="2">
        <v>98</v>
      </c>
      <c r="J234" s="2">
        <f t="shared" si="16"/>
        <v>84.199999999999989</v>
      </c>
      <c r="K234" s="2"/>
      <c r="L234" s="6">
        <v>23</v>
      </c>
      <c r="M234" s="6">
        <v>25</v>
      </c>
    </row>
    <row r="235" spans="1:13" ht="18.75" customHeight="1">
      <c r="A235" s="6" t="str">
        <f>"10522018022619563682043"</f>
        <v>10522018022619563682043</v>
      </c>
      <c r="B235" s="4">
        <v>233</v>
      </c>
      <c r="C235" s="1" t="s">
        <v>15</v>
      </c>
      <c r="D235" s="2" t="str">
        <f t="shared" si="19"/>
        <v>男</v>
      </c>
      <c r="E235" s="2" t="str">
        <f>"341281199603178617"</f>
        <v>341281199603178617</v>
      </c>
      <c r="F235" s="3" t="str">
        <f>"护理"</f>
        <v>护理</v>
      </c>
      <c r="G235" s="2" t="str">
        <f>"2018012225"</f>
        <v>2018012225</v>
      </c>
      <c r="H235" s="2">
        <v>42</v>
      </c>
      <c r="I235" s="2">
        <v>100</v>
      </c>
      <c r="J235" s="2">
        <f t="shared" si="16"/>
        <v>82.6</v>
      </c>
      <c r="K235" s="2"/>
      <c r="L235" s="6">
        <v>22</v>
      </c>
      <c r="M235" s="6">
        <v>25</v>
      </c>
    </row>
    <row r="236" spans="1:13" ht="18.75" customHeight="1">
      <c r="A236" s="6" t="str">
        <f>"10522018030110445882828"</f>
        <v>10522018030110445882828</v>
      </c>
      <c r="B236" s="4">
        <v>234</v>
      </c>
      <c r="C236" s="1" t="s">
        <v>15</v>
      </c>
      <c r="D236" s="2" t="str">
        <f t="shared" si="19"/>
        <v>男</v>
      </c>
      <c r="E236" s="2" t="str">
        <f>"341227199602013417"</f>
        <v>341227199602013417</v>
      </c>
      <c r="F236" s="3" t="str">
        <f>"护理"</f>
        <v>护理</v>
      </c>
      <c r="G236" s="2" t="str">
        <f>"2018012305"</f>
        <v>2018012305</v>
      </c>
      <c r="H236" s="2">
        <v>50</v>
      </c>
      <c r="I236" s="2">
        <v>93</v>
      </c>
      <c r="J236" s="2">
        <f t="shared" si="16"/>
        <v>80.099999999999994</v>
      </c>
      <c r="K236" s="2"/>
      <c r="L236" s="6">
        <v>23</v>
      </c>
      <c r="M236" s="6">
        <v>5</v>
      </c>
    </row>
    <row r="237" spans="1:13" ht="18.75" customHeight="1">
      <c r="A237" s="6" t="str">
        <f>"10522018022612582581822"</f>
        <v>10522018022612582581822</v>
      </c>
      <c r="B237" s="4">
        <v>235</v>
      </c>
      <c r="C237" s="1" t="s">
        <v>15</v>
      </c>
      <c r="D237" s="2" t="str">
        <f t="shared" si="19"/>
        <v>男</v>
      </c>
      <c r="E237" s="2" t="str">
        <f>"341223199403054739"</f>
        <v>341223199403054739</v>
      </c>
      <c r="F237" s="3" t="str">
        <f>"护理专业"</f>
        <v>护理专业</v>
      </c>
      <c r="G237" s="2" t="str">
        <f>"2018012215"</f>
        <v>2018012215</v>
      </c>
      <c r="H237" s="2">
        <v>50</v>
      </c>
      <c r="I237" s="2">
        <v>92</v>
      </c>
      <c r="J237" s="2">
        <f t="shared" si="16"/>
        <v>79.399999999999991</v>
      </c>
      <c r="K237" s="2"/>
      <c r="L237" s="6">
        <v>22</v>
      </c>
      <c r="M237" s="6">
        <v>15</v>
      </c>
    </row>
    <row r="238" spans="1:13" ht="18.75" customHeight="1">
      <c r="A238" s="6" t="str">
        <f>"10522018022615175881915"</f>
        <v>10522018022615175881915</v>
      </c>
      <c r="B238" s="4">
        <v>236</v>
      </c>
      <c r="C238" s="1" t="s">
        <v>15</v>
      </c>
      <c r="D238" s="2" t="str">
        <f t="shared" si="19"/>
        <v>男</v>
      </c>
      <c r="E238" s="2" t="str">
        <f>"341227199412204853"</f>
        <v>341227199412204853</v>
      </c>
      <c r="F238" s="3" t="str">
        <f t="shared" ref="F238:F261" si="20">"护理"</f>
        <v>护理</v>
      </c>
      <c r="G238" s="2" t="str">
        <f>"2018012226"</f>
        <v>2018012226</v>
      </c>
      <c r="H238" s="2">
        <v>50.5</v>
      </c>
      <c r="I238" s="2">
        <v>90</v>
      </c>
      <c r="J238" s="2">
        <f t="shared" si="16"/>
        <v>78.149999999999991</v>
      </c>
      <c r="K238" s="2"/>
      <c r="L238" s="6">
        <v>22</v>
      </c>
      <c r="M238" s="6">
        <v>26</v>
      </c>
    </row>
    <row r="239" spans="1:13" ht="18.75" customHeight="1">
      <c r="A239" s="6" t="str">
        <f>"10522018022609474181630"</f>
        <v>10522018022609474181630</v>
      </c>
      <c r="B239" s="4">
        <v>237</v>
      </c>
      <c r="C239" s="1" t="s">
        <v>15</v>
      </c>
      <c r="D239" s="2" t="str">
        <f t="shared" si="19"/>
        <v>男</v>
      </c>
      <c r="E239" s="2" t="str">
        <f>"341224199306177813"</f>
        <v>341224199306177813</v>
      </c>
      <c r="F239" s="3" t="str">
        <f t="shared" si="20"/>
        <v>护理</v>
      </c>
      <c r="G239" s="2" t="str">
        <f>"2018012316"</f>
        <v>2018012316</v>
      </c>
      <c r="H239" s="2">
        <v>38.5</v>
      </c>
      <c r="I239" s="2">
        <v>95</v>
      </c>
      <c r="J239" s="2">
        <f t="shared" si="16"/>
        <v>78.05</v>
      </c>
      <c r="K239" s="2"/>
      <c r="L239" s="6">
        <v>23</v>
      </c>
      <c r="M239" s="6">
        <v>16</v>
      </c>
    </row>
    <row r="240" spans="1:13" ht="18.75" customHeight="1">
      <c r="A240" s="6" t="str">
        <f>"10522018022821021282738"</f>
        <v>10522018022821021282738</v>
      </c>
      <c r="B240" s="4">
        <v>238</v>
      </c>
      <c r="C240" s="1" t="s">
        <v>15</v>
      </c>
      <c r="D240" s="2" t="str">
        <f t="shared" si="19"/>
        <v>男</v>
      </c>
      <c r="E240" s="2" t="str">
        <f>"34162119940929031X"</f>
        <v>34162119940929031X</v>
      </c>
      <c r="F240" s="3" t="str">
        <f t="shared" si="20"/>
        <v>护理</v>
      </c>
      <c r="G240" s="2" t="str">
        <f>"2018012220"</f>
        <v>2018012220</v>
      </c>
      <c r="H240" s="2">
        <v>51</v>
      </c>
      <c r="I240" s="2">
        <v>86</v>
      </c>
      <c r="J240" s="2">
        <f t="shared" si="16"/>
        <v>75.5</v>
      </c>
      <c r="K240" s="2"/>
      <c r="L240" s="6">
        <v>22</v>
      </c>
      <c r="M240" s="6">
        <v>20</v>
      </c>
    </row>
    <row r="241" spans="1:13" ht="18.75" customHeight="1">
      <c r="A241" s="6" t="str">
        <f>"10522018022720131182391"</f>
        <v>10522018022720131182391</v>
      </c>
      <c r="B241" s="4">
        <v>239</v>
      </c>
      <c r="C241" s="1" t="s">
        <v>15</v>
      </c>
      <c r="D241" s="2" t="str">
        <f t="shared" si="19"/>
        <v>男</v>
      </c>
      <c r="E241" s="2" t="str">
        <f>"341281199612304611"</f>
        <v>341281199612304611</v>
      </c>
      <c r="F241" s="3" t="str">
        <f t="shared" si="20"/>
        <v>护理</v>
      </c>
      <c r="G241" s="2" t="str">
        <f>"2018012227"</f>
        <v>2018012227</v>
      </c>
      <c r="H241" s="2">
        <v>58</v>
      </c>
      <c r="I241" s="2">
        <v>83</v>
      </c>
      <c r="J241" s="2">
        <f t="shared" si="16"/>
        <v>75.5</v>
      </c>
      <c r="K241" s="2"/>
      <c r="L241" s="6">
        <v>22</v>
      </c>
      <c r="M241" s="6">
        <v>27</v>
      </c>
    </row>
    <row r="242" spans="1:13" ht="18.75" customHeight="1">
      <c r="A242" s="6" t="str">
        <f>"10522018030113265382892"</f>
        <v>10522018030113265382892</v>
      </c>
      <c r="B242" s="4">
        <v>240</v>
      </c>
      <c r="C242" s="1" t="s">
        <v>15</v>
      </c>
      <c r="D242" s="2" t="str">
        <f t="shared" si="19"/>
        <v>男</v>
      </c>
      <c r="E242" s="2" t="str">
        <f>"341623199703280019"</f>
        <v>341623199703280019</v>
      </c>
      <c r="F242" s="3" t="str">
        <f t="shared" si="20"/>
        <v>护理</v>
      </c>
      <c r="G242" s="2" t="str">
        <f>"2018012229"</f>
        <v>2018012229</v>
      </c>
      <c r="H242" s="2">
        <v>44</v>
      </c>
      <c r="I242" s="2">
        <v>88</v>
      </c>
      <c r="J242" s="2">
        <f t="shared" si="16"/>
        <v>74.8</v>
      </c>
      <c r="K242" s="2"/>
      <c r="L242" s="6">
        <v>22</v>
      </c>
      <c r="M242" s="6">
        <v>29</v>
      </c>
    </row>
    <row r="243" spans="1:13" ht="18.75" customHeight="1">
      <c r="A243" s="6" t="str">
        <f>"10522018022616234481953"</f>
        <v>10522018022616234481953</v>
      </c>
      <c r="B243" s="4">
        <v>241</v>
      </c>
      <c r="C243" s="1" t="s">
        <v>15</v>
      </c>
      <c r="D243" s="2" t="str">
        <f t="shared" si="19"/>
        <v>男</v>
      </c>
      <c r="E243" s="2" t="str">
        <f>"341224199508136817"</f>
        <v>341224199508136817</v>
      </c>
      <c r="F243" s="3" t="str">
        <f t="shared" si="20"/>
        <v>护理</v>
      </c>
      <c r="G243" s="2" t="str">
        <f>"2018012326"</f>
        <v>2018012326</v>
      </c>
      <c r="H243" s="2">
        <v>45</v>
      </c>
      <c r="I243" s="2">
        <v>86</v>
      </c>
      <c r="J243" s="2">
        <f t="shared" si="16"/>
        <v>73.699999999999989</v>
      </c>
      <c r="K243" s="2"/>
      <c r="L243" s="6">
        <v>23</v>
      </c>
      <c r="M243" s="6">
        <v>26</v>
      </c>
    </row>
    <row r="244" spans="1:13" ht="18.75" customHeight="1">
      <c r="A244" s="6" t="str">
        <f>"10522018022610273381673"</f>
        <v>10522018022610273381673</v>
      </c>
      <c r="B244" s="4">
        <v>242</v>
      </c>
      <c r="C244" s="1" t="s">
        <v>15</v>
      </c>
      <c r="D244" s="2" t="str">
        <f t="shared" si="19"/>
        <v>男</v>
      </c>
      <c r="E244" s="2" t="str">
        <f>"340621199701040018"</f>
        <v>340621199701040018</v>
      </c>
      <c r="F244" s="3" t="str">
        <f t="shared" si="20"/>
        <v>护理</v>
      </c>
      <c r="G244" s="2" t="str">
        <f>"2018012217"</f>
        <v>2018012217</v>
      </c>
      <c r="H244" s="2">
        <v>46.5</v>
      </c>
      <c r="I244" s="2">
        <v>85</v>
      </c>
      <c r="J244" s="2">
        <f t="shared" si="16"/>
        <v>73.449999999999989</v>
      </c>
      <c r="K244" s="2"/>
      <c r="L244" s="6">
        <v>22</v>
      </c>
      <c r="M244" s="6">
        <v>17</v>
      </c>
    </row>
    <row r="245" spans="1:13" ht="18.75" customHeight="1">
      <c r="A245" s="6" t="str">
        <f>"10522018022821490282754"</f>
        <v>10522018022821490282754</v>
      </c>
      <c r="B245" s="4">
        <v>243</v>
      </c>
      <c r="C245" s="1" t="s">
        <v>15</v>
      </c>
      <c r="D245" s="2" t="str">
        <f t="shared" si="19"/>
        <v>男</v>
      </c>
      <c r="E245" s="2" t="str">
        <f>"341227199706170011"</f>
        <v>341227199706170011</v>
      </c>
      <c r="F245" s="3" t="str">
        <f t="shared" si="20"/>
        <v>护理</v>
      </c>
      <c r="G245" s="2" t="str">
        <f>"2018012308"</f>
        <v>2018012308</v>
      </c>
      <c r="H245" s="2">
        <v>39.5</v>
      </c>
      <c r="I245" s="2">
        <v>88</v>
      </c>
      <c r="J245" s="2">
        <f t="shared" si="16"/>
        <v>73.449999999999989</v>
      </c>
      <c r="K245" s="2"/>
      <c r="L245" s="6">
        <v>23</v>
      </c>
      <c r="M245" s="6">
        <v>8</v>
      </c>
    </row>
    <row r="246" spans="1:13" ht="18.75" customHeight="1">
      <c r="A246" s="6" t="str">
        <f>"10522018022821405382751"</f>
        <v>10522018022821405382751</v>
      </c>
      <c r="B246" s="4">
        <v>244</v>
      </c>
      <c r="C246" s="1" t="s">
        <v>15</v>
      </c>
      <c r="D246" s="2" t="str">
        <f t="shared" si="19"/>
        <v>男</v>
      </c>
      <c r="E246" s="2" t="str">
        <f>"341602199610090011"</f>
        <v>341602199610090011</v>
      </c>
      <c r="F246" s="3" t="str">
        <f t="shared" si="20"/>
        <v>护理</v>
      </c>
      <c r="G246" s="2" t="str">
        <f>"2018012319"</f>
        <v>2018012319</v>
      </c>
      <c r="H246" s="2">
        <v>40.5</v>
      </c>
      <c r="I246" s="2">
        <v>87</v>
      </c>
      <c r="J246" s="2">
        <f t="shared" si="16"/>
        <v>73.05</v>
      </c>
      <c r="K246" s="2"/>
      <c r="L246" s="6">
        <v>23</v>
      </c>
      <c r="M246" s="6">
        <v>19</v>
      </c>
    </row>
    <row r="247" spans="1:13" ht="18.75" customHeight="1">
      <c r="A247" s="6" t="str">
        <f>"10522018022811335182542"</f>
        <v>10522018022811335182542</v>
      </c>
      <c r="B247" s="4">
        <v>245</v>
      </c>
      <c r="C247" s="1" t="s">
        <v>15</v>
      </c>
      <c r="D247" s="2" t="str">
        <f t="shared" si="19"/>
        <v>男</v>
      </c>
      <c r="E247" s="2" t="str">
        <f>"34162319930312907X"</f>
        <v>34162319930312907X</v>
      </c>
      <c r="F247" s="3" t="str">
        <f t="shared" si="20"/>
        <v>护理</v>
      </c>
      <c r="G247" s="2" t="str">
        <f>"2018012327"</f>
        <v>2018012327</v>
      </c>
      <c r="H247" s="2">
        <v>46.5</v>
      </c>
      <c r="I247" s="2">
        <v>84</v>
      </c>
      <c r="J247" s="2">
        <f t="shared" si="16"/>
        <v>72.75</v>
      </c>
      <c r="K247" s="2"/>
      <c r="L247" s="6">
        <v>23</v>
      </c>
      <c r="M247" s="6">
        <v>27</v>
      </c>
    </row>
    <row r="248" spans="1:13" ht="18.75" customHeight="1">
      <c r="A248" s="6" t="str">
        <f>"10522018022617433481992"</f>
        <v>10522018022617433481992</v>
      </c>
      <c r="B248" s="4">
        <v>246</v>
      </c>
      <c r="C248" s="1" t="s">
        <v>15</v>
      </c>
      <c r="D248" s="2" t="str">
        <f t="shared" si="19"/>
        <v>男</v>
      </c>
      <c r="E248" s="2" t="str">
        <f>"341202199808150516"</f>
        <v>341202199808150516</v>
      </c>
      <c r="F248" s="3" t="str">
        <f t="shared" si="20"/>
        <v>护理</v>
      </c>
      <c r="G248" s="2" t="str">
        <f>"2018012317"</f>
        <v>2018012317</v>
      </c>
      <c r="H248" s="2">
        <v>44</v>
      </c>
      <c r="I248" s="2">
        <v>85</v>
      </c>
      <c r="J248" s="2">
        <f t="shared" si="16"/>
        <v>72.699999999999989</v>
      </c>
      <c r="K248" s="2"/>
      <c r="L248" s="6">
        <v>23</v>
      </c>
      <c r="M248" s="6">
        <v>17</v>
      </c>
    </row>
    <row r="249" spans="1:13" ht="18.75" customHeight="1">
      <c r="A249" s="6" t="str">
        <f>"10522018030207212183064"</f>
        <v>10522018030207212183064</v>
      </c>
      <c r="B249" s="4">
        <v>247</v>
      </c>
      <c r="C249" s="1" t="s">
        <v>15</v>
      </c>
      <c r="D249" s="2" t="str">
        <f t="shared" si="19"/>
        <v>男</v>
      </c>
      <c r="E249" s="2" t="str">
        <f>"341126199612202017"</f>
        <v>341126199612202017</v>
      </c>
      <c r="F249" s="3" t="str">
        <f t="shared" si="20"/>
        <v>护理</v>
      </c>
      <c r="G249" s="2" t="str">
        <f>"2018012212"</f>
        <v>2018012212</v>
      </c>
      <c r="H249" s="2">
        <v>46.5</v>
      </c>
      <c r="I249" s="2">
        <v>83</v>
      </c>
      <c r="J249" s="2">
        <f t="shared" si="16"/>
        <v>72.05</v>
      </c>
      <c r="K249" s="2"/>
      <c r="L249" s="6">
        <v>22</v>
      </c>
      <c r="M249" s="6">
        <v>12</v>
      </c>
    </row>
    <row r="250" spans="1:13" ht="18.75" customHeight="1">
      <c r="A250" s="6" t="str">
        <f>"10522018022614131481872"</f>
        <v>10522018022614131481872</v>
      </c>
      <c r="B250" s="4">
        <v>248</v>
      </c>
      <c r="C250" s="1" t="s">
        <v>15</v>
      </c>
      <c r="D250" s="2" t="str">
        <f t="shared" si="19"/>
        <v>男</v>
      </c>
      <c r="E250" s="2" t="str">
        <f>"341221199712241033"</f>
        <v>341221199712241033</v>
      </c>
      <c r="F250" s="3" t="str">
        <f t="shared" si="20"/>
        <v>护理</v>
      </c>
      <c r="G250" s="2" t="str">
        <f>"2018012214"</f>
        <v>2018012214</v>
      </c>
      <c r="H250" s="2">
        <v>42</v>
      </c>
      <c r="I250" s="2">
        <v>84</v>
      </c>
      <c r="J250" s="2">
        <f t="shared" si="16"/>
        <v>71.399999999999991</v>
      </c>
      <c r="K250" s="2"/>
      <c r="L250" s="6">
        <v>22</v>
      </c>
      <c r="M250" s="6">
        <v>14</v>
      </c>
    </row>
    <row r="251" spans="1:13" ht="18.75" customHeight="1">
      <c r="A251" s="6" t="str">
        <f>"10522018022816410182651"</f>
        <v>10522018022816410182651</v>
      </c>
      <c r="B251" s="4">
        <v>249</v>
      </c>
      <c r="C251" s="1" t="s">
        <v>15</v>
      </c>
      <c r="D251" s="2" t="str">
        <f t="shared" si="19"/>
        <v>男</v>
      </c>
      <c r="E251" s="2" t="str">
        <f>"341221199710219297"</f>
        <v>341221199710219297</v>
      </c>
      <c r="F251" s="3" t="str">
        <f t="shared" si="20"/>
        <v>护理</v>
      </c>
      <c r="G251" s="2" t="str">
        <f>"2018012309"</f>
        <v>2018012309</v>
      </c>
      <c r="H251" s="2">
        <v>43</v>
      </c>
      <c r="I251" s="2">
        <v>83</v>
      </c>
      <c r="J251" s="2">
        <f t="shared" si="16"/>
        <v>71</v>
      </c>
      <c r="K251" s="2"/>
      <c r="L251" s="6">
        <v>23</v>
      </c>
      <c r="M251" s="6">
        <v>9</v>
      </c>
    </row>
    <row r="252" spans="1:13" ht="18.75" customHeight="1">
      <c r="A252" s="6" t="str">
        <f>"10522018022611170981750"</f>
        <v>10522018022611170981750</v>
      </c>
      <c r="B252" s="4">
        <v>250</v>
      </c>
      <c r="C252" s="1" t="s">
        <v>15</v>
      </c>
      <c r="D252" s="2" t="str">
        <f t="shared" si="19"/>
        <v>男</v>
      </c>
      <c r="E252" s="2" t="str">
        <f>"340421199612060219"</f>
        <v>340421199612060219</v>
      </c>
      <c r="F252" s="3" t="str">
        <f t="shared" si="20"/>
        <v>护理</v>
      </c>
      <c r="G252" s="2" t="str">
        <f>"2018012314"</f>
        <v>2018012314</v>
      </c>
      <c r="H252" s="2">
        <v>50</v>
      </c>
      <c r="I252" s="2">
        <v>80</v>
      </c>
      <c r="J252" s="2">
        <f t="shared" si="16"/>
        <v>71</v>
      </c>
      <c r="K252" s="2"/>
      <c r="L252" s="6">
        <v>23</v>
      </c>
      <c r="M252" s="6">
        <v>14</v>
      </c>
    </row>
    <row r="253" spans="1:13" ht="18.75" customHeight="1">
      <c r="A253" s="6" t="str">
        <f>"10522018022612435681806"</f>
        <v>10522018022612435681806</v>
      </c>
      <c r="B253" s="4">
        <v>251</v>
      </c>
      <c r="C253" s="1" t="s">
        <v>15</v>
      </c>
      <c r="D253" s="2" t="str">
        <f t="shared" si="19"/>
        <v>男</v>
      </c>
      <c r="E253" s="2" t="str">
        <f>"341203199712290916"</f>
        <v>341203199712290916</v>
      </c>
      <c r="F253" s="3" t="str">
        <f t="shared" si="20"/>
        <v>护理</v>
      </c>
      <c r="G253" s="2" t="str">
        <f>"2018012318"</f>
        <v>2018012318</v>
      </c>
      <c r="H253" s="2">
        <v>28.5</v>
      </c>
      <c r="I253" s="2">
        <v>89</v>
      </c>
      <c r="J253" s="2">
        <f t="shared" si="16"/>
        <v>70.849999999999994</v>
      </c>
      <c r="K253" s="2"/>
      <c r="L253" s="6">
        <v>23</v>
      </c>
      <c r="M253" s="6">
        <v>18</v>
      </c>
    </row>
    <row r="254" spans="1:13" ht="18.75" customHeight="1">
      <c r="A254" s="6" t="str">
        <f>"10522018022808160482462"</f>
        <v>10522018022808160482462</v>
      </c>
      <c r="B254" s="4">
        <v>252</v>
      </c>
      <c r="C254" s="1" t="s">
        <v>15</v>
      </c>
      <c r="D254" s="2" t="str">
        <f t="shared" si="19"/>
        <v>男</v>
      </c>
      <c r="E254" s="2" t="str">
        <f>"341621199708131116"</f>
        <v>341621199708131116</v>
      </c>
      <c r="F254" s="3" t="str">
        <f t="shared" si="20"/>
        <v>护理</v>
      </c>
      <c r="G254" s="2" t="str">
        <f>"2018012219"</f>
        <v>2018012219</v>
      </c>
      <c r="H254" s="2">
        <v>47</v>
      </c>
      <c r="I254" s="2">
        <v>80</v>
      </c>
      <c r="J254" s="2">
        <f t="shared" si="16"/>
        <v>70.099999999999994</v>
      </c>
      <c r="K254" s="2"/>
      <c r="L254" s="6">
        <v>22</v>
      </c>
      <c r="M254" s="6">
        <v>19</v>
      </c>
    </row>
    <row r="255" spans="1:13" ht="18.75" customHeight="1">
      <c r="A255" s="6" t="str">
        <f>"10522018022610473681710"</f>
        <v>10522018022610473681710</v>
      </c>
      <c r="B255" s="4">
        <v>253</v>
      </c>
      <c r="C255" s="1" t="s">
        <v>15</v>
      </c>
      <c r="D255" s="2" t="str">
        <f t="shared" si="19"/>
        <v>男</v>
      </c>
      <c r="E255" s="2" t="str">
        <f>"341281199610042435"</f>
        <v>341281199610042435</v>
      </c>
      <c r="F255" s="3" t="str">
        <f t="shared" si="20"/>
        <v>护理</v>
      </c>
      <c r="G255" s="2" t="str">
        <f>"2018012213"</f>
        <v>2018012213</v>
      </c>
      <c r="H255" s="2">
        <v>39.5</v>
      </c>
      <c r="I255" s="2">
        <v>83</v>
      </c>
      <c r="J255" s="2">
        <f t="shared" si="16"/>
        <v>69.949999999999989</v>
      </c>
      <c r="K255" s="2"/>
      <c r="L255" s="6">
        <v>22</v>
      </c>
      <c r="M255" s="6">
        <v>13</v>
      </c>
    </row>
    <row r="256" spans="1:13" ht="18.75" customHeight="1">
      <c r="A256" s="6" t="str">
        <f>"10522018030111183782838"</f>
        <v>10522018030111183782838</v>
      </c>
      <c r="B256" s="4">
        <v>254</v>
      </c>
      <c r="C256" s="1" t="s">
        <v>15</v>
      </c>
      <c r="D256" s="2" t="str">
        <f t="shared" si="19"/>
        <v>男</v>
      </c>
      <c r="E256" s="2" t="str">
        <f>"341227199404209013"</f>
        <v>341227199404209013</v>
      </c>
      <c r="F256" s="3" t="str">
        <f t="shared" si="20"/>
        <v>护理</v>
      </c>
      <c r="G256" s="2" t="str">
        <f>"2018012302"</f>
        <v>2018012302</v>
      </c>
      <c r="H256" s="2">
        <v>43.5</v>
      </c>
      <c r="I256" s="2">
        <v>80</v>
      </c>
      <c r="J256" s="2">
        <f t="shared" si="16"/>
        <v>69.05</v>
      </c>
      <c r="K256" s="2"/>
      <c r="L256" s="6">
        <v>23</v>
      </c>
      <c r="M256" s="6">
        <v>2</v>
      </c>
    </row>
    <row r="257" spans="1:13" ht="18.75" customHeight="1">
      <c r="A257" s="6" t="str">
        <f>"10522018022619522782040"</f>
        <v>10522018022619522782040</v>
      </c>
      <c r="B257" s="4">
        <v>255</v>
      </c>
      <c r="C257" s="1" t="s">
        <v>15</v>
      </c>
      <c r="D257" s="2" t="str">
        <f t="shared" si="19"/>
        <v>男</v>
      </c>
      <c r="E257" s="2" t="str">
        <f>"341281199604271039"</f>
        <v>341281199604271039</v>
      </c>
      <c r="F257" s="3" t="str">
        <f t="shared" si="20"/>
        <v>护理</v>
      </c>
      <c r="G257" s="2" t="str">
        <f>"2018012230"</f>
        <v>2018012230</v>
      </c>
      <c r="H257" s="2">
        <v>42</v>
      </c>
      <c r="I257" s="2">
        <v>80</v>
      </c>
      <c r="J257" s="2">
        <f t="shared" si="16"/>
        <v>68.599999999999994</v>
      </c>
      <c r="K257" s="2"/>
      <c r="L257" s="6">
        <v>22</v>
      </c>
      <c r="M257" s="6">
        <v>30</v>
      </c>
    </row>
    <row r="258" spans="1:13" ht="18.75" customHeight="1">
      <c r="A258" s="6" t="str">
        <f>"10522018022611114581742"</f>
        <v>10522018022611114581742</v>
      </c>
      <c r="B258" s="4">
        <v>256</v>
      </c>
      <c r="C258" s="1" t="s">
        <v>15</v>
      </c>
      <c r="D258" s="2" t="str">
        <f t="shared" si="19"/>
        <v>男</v>
      </c>
      <c r="E258" s="2" t="str">
        <f>"341621199701162518"</f>
        <v>341621199701162518</v>
      </c>
      <c r="F258" s="3" t="str">
        <f t="shared" si="20"/>
        <v>护理</v>
      </c>
      <c r="G258" s="2" t="str">
        <f>"2018012221"</f>
        <v>2018012221</v>
      </c>
      <c r="H258" s="2">
        <v>41.5</v>
      </c>
      <c r="I258" s="2">
        <v>78</v>
      </c>
      <c r="J258" s="2">
        <f t="shared" si="16"/>
        <v>67.05</v>
      </c>
      <c r="K258" s="2"/>
      <c r="L258" s="6">
        <v>22</v>
      </c>
      <c r="M258" s="6">
        <v>21</v>
      </c>
    </row>
    <row r="259" spans="1:13" ht="18.75" customHeight="1">
      <c r="A259" s="6" t="str">
        <f>"10522018022609041881566"</f>
        <v>10522018022609041881566</v>
      </c>
      <c r="B259" s="4">
        <v>257</v>
      </c>
      <c r="C259" s="1" t="s">
        <v>15</v>
      </c>
      <c r="D259" s="2" t="str">
        <f t="shared" si="19"/>
        <v>男</v>
      </c>
      <c r="E259" s="2" t="str">
        <f>"341621199811203958"</f>
        <v>341621199811203958</v>
      </c>
      <c r="F259" s="3" t="str">
        <f t="shared" si="20"/>
        <v>护理</v>
      </c>
      <c r="G259" s="2" t="str">
        <f>"2018012324"</f>
        <v>2018012324</v>
      </c>
      <c r="H259" s="2">
        <v>49.5</v>
      </c>
      <c r="I259" s="2">
        <v>73</v>
      </c>
      <c r="J259" s="2">
        <f t="shared" ref="J259:J322" si="21">H259*0.3+I259*0.7</f>
        <v>65.949999999999989</v>
      </c>
      <c r="K259" s="2"/>
      <c r="L259" s="6">
        <v>23</v>
      </c>
      <c r="M259" s="6">
        <v>24</v>
      </c>
    </row>
    <row r="260" spans="1:13" ht="18.75" customHeight="1">
      <c r="A260" s="6" t="str">
        <f>"10522018030112522082877"</f>
        <v>10522018030112522082877</v>
      </c>
      <c r="B260" s="4">
        <v>258</v>
      </c>
      <c r="C260" s="1" t="s">
        <v>15</v>
      </c>
      <c r="D260" s="2" t="str">
        <f t="shared" si="19"/>
        <v>男</v>
      </c>
      <c r="E260" s="2" t="str">
        <f>"341602199302106093"</f>
        <v>341602199302106093</v>
      </c>
      <c r="F260" s="3" t="str">
        <f t="shared" si="20"/>
        <v>护理</v>
      </c>
      <c r="G260" s="2" t="str">
        <f>"2018012311"</f>
        <v>2018012311</v>
      </c>
      <c r="H260" s="2">
        <v>30.5</v>
      </c>
      <c r="I260" s="2">
        <v>81</v>
      </c>
      <c r="J260" s="2">
        <f t="shared" si="21"/>
        <v>65.849999999999994</v>
      </c>
      <c r="K260" s="2"/>
      <c r="L260" s="6">
        <v>23</v>
      </c>
      <c r="M260" s="6">
        <v>11</v>
      </c>
    </row>
    <row r="261" spans="1:13" ht="18.75" customHeight="1">
      <c r="A261" s="6" t="str">
        <f>"10522018030108410882793"</f>
        <v>10522018030108410882793</v>
      </c>
      <c r="B261" s="4">
        <v>259</v>
      </c>
      <c r="C261" s="1" t="s">
        <v>15</v>
      </c>
      <c r="D261" s="2" t="str">
        <f t="shared" si="19"/>
        <v>男</v>
      </c>
      <c r="E261" s="2" t="str">
        <f>"341223199407010231"</f>
        <v>341223199407010231</v>
      </c>
      <c r="F261" s="3" t="str">
        <f t="shared" si="20"/>
        <v>护理</v>
      </c>
      <c r="G261" s="2" t="str">
        <f>"2018012222"</f>
        <v>2018012222</v>
      </c>
      <c r="H261" s="2">
        <v>40</v>
      </c>
      <c r="I261" s="2">
        <v>69</v>
      </c>
      <c r="J261" s="2">
        <f t="shared" si="21"/>
        <v>60.3</v>
      </c>
      <c r="K261" s="2"/>
      <c r="L261" s="6">
        <v>22</v>
      </c>
      <c r="M261" s="6">
        <v>22</v>
      </c>
    </row>
    <row r="262" spans="1:13" ht="18.75" customHeight="1">
      <c r="A262" s="6" t="str">
        <f>"10522018022610542181721"</f>
        <v>10522018022610542181721</v>
      </c>
      <c r="B262" s="4">
        <v>260</v>
      </c>
      <c r="C262" s="1" t="s">
        <v>16</v>
      </c>
      <c r="D262" s="2" t="str">
        <f t="shared" ref="D262:D285" si="22">"女"</f>
        <v>女</v>
      </c>
      <c r="E262" s="2" t="str">
        <f>"341621199503201926"</f>
        <v>341621199503201926</v>
      </c>
      <c r="F262" s="3" t="str">
        <f t="shared" ref="F262:F279" si="23">"助产"</f>
        <v>助产</v>
      </c>
      <c r="G262" s="2" t="str">
        <f>"2018013320"</f>
        <v>2018013320</v>
      </c>
      <c r="H262" s="2">
        <v>47</v>
      </c>
      <c r="I262" s="2">
        <v>107</v>
      </c>
      <c r="J262" s="2">
        <f t="shared" si="21"/>
        <v>88.999999999999986</v>
      </c>
      <c r="K262" s="2"/>
      <c r="L262" s="6">
        <v>33</v>
      </c>
      <c r="M262" s="6">
        <v>20</v>
      </c>
    </row>
    <row r="263" spans="1:13" ht="18.75" customHeight="1">
      <c r="A263" s="6" t="str">
        <f>"10522018030117014382967"</f>
        <v>10522018030117014382967</v>
      </c>
      <c r="B263" s="4">
        <v>261</v>
      </c>
      <c r="C263" s="1" t="s">
        <v>16</v>
      </c>
      <c r="D263" s="2" t="str">
        <f t="shared" si="22"/>
        <v>女</v>
      </c>
      <c r="E263" s="2" t="str">
        <f>"341223199509180047"</f>
        <v>341223199509180047</v>
      </c>
      <c r="F263" s="3" t="str">
        <f t="shared" si="23"/>
        <v>助产</v>
      </c>
      <c r="G263" s="2" t="str">
        <f>"2018013513"</f>
        <v>2018013513</v>
      </c>
      <c r="H263" s="2">
        <v>63</v>
      </c>
      <c r="I263" s="2">
        <v>95</v>
      </c>
      <c r="J263" s="2">
        <f t="shared" si="21"/>
        <v>85.4</v>
      </c>
      <c r="K263" s="2"/>
      <c r="L263" s="6">
        <v>35</v>
      </c>
      <c r="M263" s="6">
        <v>13</v>
      </c>
    </row>
    <row r="264" spans="1:13" ht="18.75" customHeight="1">
      <c r="A264" s="6" t="str">
        <f>"10522018022614404881890"</f>
        <v>10522018022614404881890</v>
      </c>
      <c r="B264" s="4">
        <v>262</v>
      </c>
      <c r="C264" s="1" t="s">
        <v>16</v>
      </c>
      <c r="D264" s="2" t="str">
        <f t="shared" si="22"/>
        <v>女</v>
      </c>
      <c r="E264" s="2" t="str">
        <f>"341225199703154005"</f>
        <v>341225199703154005</v>
      </c>
      <c r="F264" s="3" t="str">
        <f t="shared" si="23"/>
        <v>助产</v>
      </c>
      <c r="G264" s="2" t="str">
        <f>"2018013311"</f>
        <v>2018013311</v>
      </c>
      <c r="H264" s="2">
        <v>76</v>
      </c>
      <c r="I264" s="2">
        <v>88</v>
      </c>
      <c r="J264" s="2">
        <f t="shared" si="21"/>
        <v>84.399999999999991</v>
      </c>
      <c r="K264" s="2"/>
      <c r="L264" s="6">
        <v>33</v>
      </c>
      <c r="M264" s="6">
        <v>11</v>
      </c>
    </row>
    <row r="265" spans="1:13" ht="18.75" customHeight="1">
      <c r="A265" s="6" t="str">
        <f>"10522018022812530782571"</f>
        <v>10522018022812530782571</v>
      </c>
      <c r="B265" s="4">
        <v>263</v>
      </c>
      <c r="C265" s="1" t="s">
        <v>16</v>
      </c>
      <c r="D265" s="2" t="str">
        <f t="shared" si="22"/>
        <v>女</v>
      </c>
      <c r="E265" s="2" t="str">
        <f>"341223199406130725"</f>
        <v>341223199406130725</v>
      </c>
      <c r="F265" s="3" t="str">
        <f t="shared" si="23"/>
        <v>助产</v>
      </c>
      <c r="G265" s="2" t="str">
        <f>"2018013327"</f>
        <v>2018013327</v>
      </c>
      <c r="H265" s="2">
        <v>55.5</v>
      </c>
      <c r="I265" s="2">
        <v>95</v>
      </c>
      <c r="J265" s="2">
        <f t="shared" si="21"/>
        <v>83.15</v>
      </c>
      <c r="K265" s="2"/>
      <c r="L265" s="6">
        <v>33</v>
      </c>
      <c r="M265" s="6">
        <v>27</v>
      </c>
    </row>
    <row r="266" spans="1:13" ht="18.75" customHeight="1">
      <c r="A266" s="6" t="str">
        <f>"10522018030113164582887"</f>
        <v>10522018030113164582887</v>
      </c>
      <c r="B266" s="4">
        <v>264</v>
      </c>
      <c r="C266" s="1" t="s">
        <v>16</v>
      </c>
      <c r="D266" s="2" t="str">
        <f t="shared" si="22"/>
        <v>女</v>
      </c>
      <c r="E266" s="2" t="str">
        <f>"341223199507013704"</f>
        <v>341223199507013704</v>
      </c>
      <c r="F266" s="3" t="str">
        <f t="shared" si="23"/>
        <v>助产</v>
      </c>
      <c r="G266" s="2" t="str">
        <f>"2018013515"</f>
        <v>2018013515</v>
      </c>
      <c r="H266" s="2">
        <v>51</v>
      </c>
      <c r="I266" s="2">
        <v>93</v>
      </c>
      <c r="J266" s="2">
        <f t="shared" si="21"/>
        <v>80.399999999999991</v>
      </c>
      <c r="K266" s="2"/>
      <c r="L266" s="6">
        <v>35</v>
      </c>
      <c r="M266" s="6">
        <v>15</v>
      </c>
    </row>
    <row r="267" spans="1:13" ht="18.75" customHeight="1">
      <c r="A267" s="6" t="str">
        <f>"10522018022610321481683"</f>
        <v>10522018022610321481683</v>
      </c>
      <c r="B267" s="4">
        <v>265</v>
      </c>
      <c r="C267" s="1" t="s">
        <v>16</v>
      </c>
      <c r="D267" s="2" t="str">
        <f t="shared" si="22"/>
        <v>女</v>
      </c>
      <c r="E267" s="2" t="str">
        <f>"341223199310020548"</f>
        <v>341223199310020548</v>
      </c>
      <c r="F267" s="3" t="str">
        <f t="shared" si="23"/>
        <v>助产</v>
      </c>
      <c r="G267" s="2" t="str">
        <f>"2018013504"</f>
        <v>2018013504</v>
      </c>
      <c r="H267" s="2">
        <v>50</v>
      </c>
      <c r="I267" s="2">
        <v>91</v>
      </c>
      <c r="J267" s="2">
        <f t="shared" si="21"/>
        <v>78.699999999999989</v>
      </c>
      <c r="K267" s="2"/>
      <c r="L267" s="6">
        <v>35</v>
      </c>
      <c r="M267" s="6">
        <v>4</v>
      </c>
    </row>
    <row r="268" spans="1:13" ht="18.75" customHeight="1">
      <c r="A268" s="6" t="str">
        <f>"10522018030112041582858"</f>
        <v>10522018030112041582858</v>
      </c>
      <c r="B268" s="4">
        <v>266</v>
      </c>
      <c r="C268" s="1" t="s">
        <v>16</v>
      </c>
      <c r="D268" s="2" t="str">
        <f t="shared" si="22"/>
        <v>女</v>
      </c>
      <c r="E268" s="2" t="str">
        <f>"341224199702160028"</f>
        <v>341224199702160028</v>
      </c>
      <c r="F268" s="3" t="str">
        <f t="shared" si="23"/>
        <v>助产</v>
      </c>
      <c r="G268" s="2" t="str">
        <f>"2018013516"</f>
        <v>2018013516</v>
      </c>
      <c r="H268" s="2">
        <v>31.5</v>
      </c>
      <c r="I268" s="2">
        <v>95</v>
      </c>
      <c r="J268" s="2">
        <f t="shared" si="21"/>
        <v>75.95</v>
      </c>
      <c r="K268" s="2"/>
      <c r="L268" s="6">
        <v>35</v>
      </c>
      <c r="M268" s="6">
        <v>16</v>
      </c>
    </row>
    <row r="269" spans="1:13" ht="18.75" customHeight="1">
      <c r="A269" s="6" t="str">
        <f>"10522018022711124082193"</f>
        <v>10522018022711124082193</v>
      </c>
      <c r="B269" s="4">
        <v>267</v>
      </c>
      <c r="C269" s="1" t="s">
        <v>16</v>
      </c>
      <c r="D269" s="2" t="str">
        <f t="shared" si="22"/>
        <v>女</v>
      </c>
      <c r="E269" s="2" t="str">
        <f>"341623199504268324"</f>
        <v>341623199504268324</v>
      </c>
      <c r="F269" s="3" t="str">
        <f t="shared" si="23"/>
        <v>助产</v>
      </c>
      <c r="G269" s="2" t="str">
        <f>"2018013413"</f>
        <v>2018013413</v>
      </c>
      <c r="H269" s="2">
        <v>45.5</v>
      </c>
      <c r="I269" s="2">
        <v>88</v>
      </c>
      <c r="J269" s="2">
        <f t="shared" si="21"/>
        <v>75.25</v>
      </c>
      <c r="K269" s="2"/>
      <c r="L269" s="6">
        <v>34</v>
      </c>
      <c r="M269" s="6">
        <v>13</v>
      </c>
    </row>
    <row r="270" spans="1:13" ht="18.75" customHeight="1">
      <c r="A270" s="6" t="str">
        <f>"10522018030119030783000"</f>
        <v>10522018030119030783000</v>
      </c>
      <c r="B270" s="4">
        <v>268</v>
      </c>
      <c r="C270" s="1" t="s">
        <v>16</v>
      </c>
      <c r="D270" s="2" t="str">
        <f t="shared" si="22"/>
        <v>女</v>
      </c>
      <c r="E270" s="2" t="str">
        <f>"342222199706074029"</f>
        <v>342222199706074029</v>
      </c>
      <c r="F270" s="3" t="str">
        <f t="shared" si="23"/>
        <v>助产</v>
      </c>
      <c r="G270" s="2" t="str">
        <f>"2018013512"</f>
        <v>2018013512</v>
      </c>
      <c r="H270" s="2">
        <v>44</v>
      </c>
      <c r="I270" s="2">
        <v>88.5</v>
      </c>
      <c r="J270" s="2">
        <f t="shared" si="21"/>
        <v>75.149999999999991</v>
      </c>
      <c r="K270" s="2"/>
      <c r="L270" s="6">
        <v>35</v>
      </c>
      <c r="M270" s="6">
        <v>12</v>
      </c>
    </row>
    <row r="271" spans="1:13" ht="18.75" customHeight="1">
      <c r="A271" s="6" t="str">
        <f>"10522018022609265581609"</f>
        <v>10522018022609265581609</v>
      </c>
      <c r="B271" s="4">
        <v>269</v>
      </c>
      <c r="C271" s="1" t="s">
        <v>16</v>
      </c>
      <c r="D271" s="2" t="str">
        <f t="shared" si="22"/>
        <v>女</v>
      </c>
      <c r="E271" s="2" t="str">
        <f>"341223199405102562"</f>
        <v>341223199405102562</v>
      </c>
      <c r="F271" s="3" t="str">
        <f t="shared" si="23"/>
        <v>助产</v>
      </c>
      <c r="G271" s="2" t="str">
        <f>"2018013503"</f>
        <v>2018013503</v>
      </c>
      <c r="H271" s="2">
        <v>37</v>
      </c>
      <c r="I271" s="2">
        <v>91</v>
      </c>
      <c r="J271" s="2">
        <f t="shared" si="21"/>
        <v>74.8</v>
      </c>
      <c r="K271" s="2"/>
      <c r="L271" s="6">
        <v>35</v>
      </c>
      <c r="M271" s="6">
        <v>3</v>
      </c>
    </row>
    <row r="272" spans="1:13" ht="18.75" customHeight="1">
      <c r="A272" s="6" t="str">
        <f>"10522018030112173482862"</f>
        <v>10522018030112173482862</v>
      </c>
      <c r="B272" s="4">
        <v>270</v>
      </c>
      <c r="C272" s="1" t="s">
        <v>16</v>
      </c>
      <c r="D272" s="2" t="str">
        <f t="shared" si="22"/>
        <v>女</v>
      </c>
      <c r="E272" s="2" t="str">
        <f>"341623199401011040"</f>
        <v>341623199401011040</v>
      </c>
      <c r="F272" s="3" t="str">
        <f t="shared" si="23"/>
        <v>助产</v>
      </c>
      <c r="G272" s="2" t="str">
        <f>"2018013407"</f>
        <v>2018013407</v>
      </c>
      <c r="H272" s="2">
        <v>48.5</v>
      </c>
      <c r="I272" s="2">
        <v>86</v>
      </c>
      <c r="J272" s="2">
        <f t="shared" si="21"/>
        <v>74.75</v>
      </c>
      <c r="K272" s="2"/>
      <c r="L272" s="6">
        <v>34</v>
      </c>
      <c r="M272" s="6">
        <v>7</v>
      </c>
    </row>
    <row r="273" spans="1:13" ht="18.75" customHeight="1">
      <c r="A273" s="6" t="str">
        <f>"10522018022612204281785"</f>
        <v>10522018022612204281785</v>
      </c>
      <c r="B273" s="4">
        <v>271</v>
      </c>
      <c r="C273" s="1" t="s">
        <v>16</v>
      </c>
      <c r="D273" s="2" t="str">
        <f t="shared" si="22"/>
        <v>女</v>
      </c>
      <c r="E273" s="2" t="str">
        <f>"341621199503201942"</f>
        <v>341621199503201942</v>
      </c>
      <c r="F273" s="3" t="str">
        <f t="shared" si="23"/>
        <v>助产</v>
      </c>
      <c r="G273" s="2" t="str">
        <f>"2018013426"</f>
        <v>2018013426</v>
      </c>
      <c r="H273" s="2">
        <v>61</v>
      </c>
      <c r="I273" s="2">
        <v>80</v>
      </c>
      <c r="J273" s="2">
        <f t="shared" si="21"/>
        <v>74.3</v>
      </c>
      <c r="K273" s="2"/>
      <c r="L273" s="6">
        <v>34</v>
      </c>
      <c r="M273" s="6">
        <v>26</v>
      </c>
    </row>
    <row r="274" spans="1:13" ht="18.75" customHeight="1">
      <c r="A274" s="6" t="str">
        <f>"10522018022617274981985"</f>
        <v>10522018022617274981985</v>
      </c>
      <c r="B274" s="4">
        <v>272</v>
      </c>
      <c r="C274" s="1" t="s">
        <v>16</v>
      </c>
      <c r="D274" s="2" t="str">
        <f t="shared" si="22"/>
        <v>女</v>
      </c>
      <c r="E274" s="2" t="str">
        <f>"34122619971003522X"</f>
        <v>34122619971003522X</v>
      </c>
      <c r="F274" s="3" t="str">
        <f t="shared" si="23"/>
        <v>助产</v>
      </c>
      <c r="G274" s="2" t="str">
        <f>"2018013329"</f>
        <v>2018013329</v>
      </c>
      <c r="H274" s="2">
        <v>42</v>
      </c>
      <c r="I274" s="2">
        <v>88</v>
      </c>
      <c r="J274" s="2">
        <f t="shared" si="21"/>
        <v>74.199999999999989</v>
      </c>
      <c r="K274" s="2"/>
      <c r="L274" s="6">
        <v>33</v>
      </c>
      <c r="M274" s="6">
        <v>29</v>
      </c>
    </row>
    <row r="275" spans="1:13" ht="18.75" customHeight="1">
      <c r="A275" s="6" t="str">
        <f>"10522018022823172882773"</f>
        <v>10522018022823172882773</v>
      </c>
      <c r="B275" s="4">
        <v>273</v>
      </c>
      <c r="C275" s="1" t="s">
        <v>16</v>
      </c>
      <c r="D275" s="2" t="str">
        <f t="shared" si="22"/>
        <v>女</v>
      </c>
      <c r="E275" s="2" t="str">
        <f>"341227199605207049"</f>
        <v>341227199605207049</v>
      </c>
      <c r="F275" s="3" t="str">
        <f t="shared" si="23"/>
        <v>助产</v>
      </c>
      <c r="G275" s="2" t="str">
        <f>"2018013519"</f>
        <v>2018013519</v>
      </c>
      <c r="H275" s="2">
        <v>39.5</v>
      </c>
      <c r="I275" s="2">
        <v>88</v>
      </c>
      <c r="J275" s="2">
        <f t="shared" si="21"/>
        <v>73.449999999999989</v>
      </c>
      <c r="K275" s="2"/>
      <c r="L275" s="6">
        <v>35</v>
      </c>
      <c r="M275" s="6">
        <v>19</v>
      </c>
    </row>
    <row r="276" spans="1:13" ht="18.75" customHeight="1">
      <c r="A276" s="6" t="str">
        <f>"10522018022614171481876"</f>
        <v>10522018022614171481876</v>
      </c>
      <c r="B276" s="4">
        <v>274</v>
      </c>
      <c r="C276" s="1" t="s">
        <v>16</v>
      </c>
      <c r="D276" s="2" t="str">
        <f t="shared" si="22"/>
        <v>女</v>
      </c>
      <c r="E276" s="2" t="str">
        <f>"341223199405085125"</f>
        <v>341223199405085125</v>
      </c>
      <c r="F276" s="3" t="str">
        <f t="shared" si="23"/>
        <v>助产</v>
      </c>
      <c r="G276" s="2" t="str">
        <f>"2018013316"</f>
        <v>2018013316</v>
      </c>
      <c r="H276" s="2">
        <v>53</v>
      </c>
      <c r="I276" s="2">
        <v>81</v>
      </c>
      <c r="J276" s="2">
        <f t="shared" si="21"/>
        <v>72.599999999999994</v>
      </c>
      <c r="K276" s="2"/>
      <c r="L276" s="6">
        <v>33</v>
      </c>
      <c r="M276" s="6">
        <v>16</v>
      </c>
    </row>
    <row r="277" spans="1:13" ht="18.75" customHeight="1">
      <c r="A277" s="6" t="str">
        <f>"10522018022616195881950"</f>
        <v>10522018022616195881950</v>
      </c>
      <c r="B277" s="4">
        <v>275</v>
      </c>
      <c r="C277" s="1" t="s">
        <v>16</v>
      </c>
      <c r="D277" s="2" t="str">
        <f t="shared" si="22"/>
        <v>女</v>
      </c>
      <c r="E277" s="2" t="str">
        <f>"341621199402024545"</f>
        <v>341621199402024545</v>
      </c>
      <c r="F277" s="3" t="str">
        <f t="shared" si="23"/>
        <v>助产</v>
      </c>
      <c r="G277" s="2" t="str">
        <f>"2018013511"</f>
        <v>2018013511</v>
      </c>
      <c r="H277" s="2">
        <v>53</v>
      </c>
      <c r="I277" s="2">
        <v>81</v>
      </c>
      <c r="J277" s="2">
        <f t="shared" si="21"/>
        <v>72.599999999999994</v>
      </c>
      <c r="K277" s="2"/>
      <c r="L277" s="6">
        <v>35</v>
      </c>
      <c r="M277" s="6">
        <v>11</v>
      </c>
    </row>
    <row r="278" spans="1:13" ht="18.75" customHeight="1">
      <c r="A278" s="6" t="str">
        <f>"10522018022718110682324"</f>
        <v>10522018022718110682324</v>
      </c>
      <c r="B278" s="4">
        <v>276</v>
      </c>
      <c r="C278" s="1" t="s">
        <v>16</v>
      </c>
      <c r="D278" s="2" t="str">
        <f t="shared" si="22"/>
        <v>女</v>
      </c>
      <c r="E278" s="2" t="str">
        <f>"341204199307142246"</f>
        <v>341204199307142246</v>
      </c>
      <c r="F278" s="3" t="str">
        <f t="shared" si="23"/>
        <v>助产</v>
      </c>
      <c r="G278" s="2" t="str">
        <f>"2018013313"</f>
        <v>2018013313</v>
      </c>
      <c r="H278" s="2">
        <v>54.5</v>
      </c>
      <c r="I278" s="2">
        <v>79.5</v>
      </c>
      <c r="J278" s="2">
        <f t="shared" si="21"/>
        <v>72</v>
      </c>
      <c r="K278" s="2"/>
      <c r="L278" s="6">
        <v>33</v>
      </c>
      <c r="M278" s="6">
        <v>13</v>
      </c>
    </row>
    <row r="279" spans="1:13" ht="18.75" customHeight="1">
      <c r="A279" s="6" t="str">
        <f>"10522018022611445181768"</f>
        <v>10522018022611445181768</v>
      </c>
      <c r="B279" s="4">
        <v>277</v>
      </c>
      <c r="C279" s="1" t="s">
        <v>16</v>
      </c>
      <c r="D279" s="2" t="str">
        <f t="shared" si="22"/>
        <v>女</v>
      </c>
      <c r="E279" s="2" t="str">
        <f>"341621199411131529"</f>
        <v>341621199411131529</v>
      </c>
      <c r="F279" s="3" t="str">
        <f t="shared" si="23"/>
        <v>助产</v>
      </c>
      <c r="G279" s="2" t="str">
        <f>"2018013411"</f>
        <v>2018013411</v>
      </c>
      <c r="H279" s="2">
        <v>41.5</v>
      </c>
      <c r="I279" s="2">
        <v>85</v>
      </c>
      <c r="J279" s="2">
        <f t="shared" si="21"/>
        <v>71.949999999999989</v>
      </c>
      <c r="K279" s="2"/>
      <c r="L279" s="6">
        <v>34</v>
      </c>
      <c r="M279" s="6">
        <v>11</v>
      </c>
    </row>
    <row r="280" spans="1:13" ht="18.75" customHeight="1">
      <c r="A280" s="6" t="str">
        <f>"10522018022710425082183"</f>
        <v>10522018022710425082183</v>
      </c>
      <c r="B280" s="4">
        <v>278</v>
      </c>
      <c r="C280" s="1" t="s">
        <v>16</v>
      </c>
      <c r="D280" s="2" t="str">
        <f t="shared" si="22"/>
        <v>女</v>
      </c>
      <c r="E280" s="2" t="str">
        <f>"341623199412196765"</f>
        <v>341623199412196765</v>
      </c>
      <c r="F280" s="3" t="str">
        <f>"助产专业"</f>
        <v>助产专业</v>
      </c>
      <c r="G280" s="2" t="str">
        <f>"2018013420"</f>
        <v>2018013420</v>
      </c>
      <c r="H280" s="2">
        <v>56</v>
      </c>
      <c r="I280" s="2">
        <v>78</v>
      </c>
      <c r="J280" s="2">
        <f t="shared" si="21"/>
        <v>71.399999999999991</v>
      </c>
      <c r="K280" s="2"/>
      <c r="L280" s="6">
        <v>34</v>
      </c>
      <c r="M280" s="6">
        <v>20</v>
      </c>
    </row>
    <row r="281" spans="1:13" ht="18.75" customHeight="1">
      <c r="A281" s="6" t="str">
        <f>"10522018022812504282569"</f>
        <v>10522018022812504282569</v>
      </c>
      <c r="B281" s="4">
        <v>279</v>
      </c>
      <c r="C281" s="1" t="s">
        <v>16</v>
      </c>
      <c r="D281" s="2" t="str">
        <f t="shared" si="22"/>
        <v>女</v>
      </c>
      <c r="E281" s="2" t="str">
        <f>"341621199510260027"</f>
        <v>341621199510260027</v>
      </c>
      <c r="F281" s="3" t="str">
        <f>"助产"</f>
        <v>助产</v>
      </c>
      <c r="G281" s="2" t="str">
        <f>"2018013417"</f>
        <v>2018013417</v>
      </c>
      <c r="H281" s="2">
        <v>61</v>
      </c>
      <c r="I281" s="2">
        <v>75</v>
      </c>
      <c r="J281" s="2">
        <f t="shared" si="21"/>
        <v>70.8</v>
      </c>
      <c r="K281" s="2"/>
      <c r="L281" s="6">
        <v>34</v>
      </c>
      <c r="M281" s="6">
        <v>17</v>
      </c>
    </row>
    <row r="282" spans="1:13" ht="18.75" customHeight="1">
      <c r="A282" s="6" t="str">
        <f>"10522018022707575382122"</f>
        <v>10522018022707575382122</v>
      </c>
      <c r="B282" s="4">
        <v>280</v>
      </c>
      <c r="C282" s="1" t="s">
        <v>16</v>
      </c>
      <c r="D282" s="2" t="str">
        <f t="shared" si="22"/>
        <v>女</v>
      </c>
      <c r="E282" s="2" t="str">
        <f>"341281199604228620"</f>
        <v>341281199604228620</v>
      </c>
      <c r="F282" s="3" t="str">
        <f>"助产"</f>
        <v>助产</v>
      </c>
      <c r="G282" s="2" t="str">
        <f>"2018013318"</f>
        <v>2018013318</v>
      </c>
      <c r="H282" s="2">
        <v>41.5</v>
      </c>
      <c r="I282" s="2">
        <v>83</v>
      </c>
      <c r="J282" s="2">
        <f t="shared" si="21"/>
        <v>70.55</v>
      </c>
      <c r="K282" s="2"/>
      <c r="L282" s="6">
        <v>33</v>
      </c>
      <c r="M282" s="6">
        <v>18</v>
      </c>
    </row>
    <row r="283" spans="1:13" ht="18.75" customHeight="1">
      <c r="A283" s="6" t="str">
        <f>"10522018022715365582285"</f>
        <v>10522018022715365582285</v>
      </c>
      <c r="B283" s="4">
        <v>281</v>
      </c>
      <c r="C283" s="1" t="s">
        <v>16</v>
      </c>
      <c r="D283" s="2" t="str">
        <f t="shared" si="22"/>
        <v>女</v>
      </c>
      <c r="E283" s="2" t="str">
        <f>"341221199605113167"</f>
        <v>341221199605113167</v>
      </c>
      <c r="F283" s="3" t="str">
        <f>"助产"</f>
        <v>助产</v>
      </c>
      <c r="G283" s="2" t="str">
        <f>"2018013506"</f>
        <v>2018013506</v>
      </c>
      <c r="H283" s="2">
        <v>47</v>
      </c>
      <c r="I283" s="2">
        <v>80</v>
      </c>
      <c r="J283" s="2">
        <f t="shared" si="21"/>
        <v>70.099999999999994</v>
      </c>
      <c r="K283" s="2"/>
      <c r="L283" s="6">
        <v>35</v>
      </c>
      <c r="M283" s="6">
        <v>6</v>
      </c>
    </row>
    <row r="284" spans="1:13" ht="18.75" customHeight="1">
      <c r="A284" s="6" t="str">
        <f>"10522018030120412583021"</f>
        <v>10522018030120412583021</v>
      </c>
      <c r="B284" s="4">
        <v>282</v>
      </c>
      <c r="C284" s="1" t="s">
        <v>16</v>
      </c>
      <c r="D284" s="2" t="str">
        <f t="shared" si="22"/>
        <v>女</v>
      </c>
      <c r="E284" s="2" t="str">
        <f>"341222199611239424"</f>
        <v>341222199611239424</v>
      </c>
      <c r="F284" s="3" t="str">
        <f>"助产"</f>
        <v>助产</v>
      </c>
      <c r="G284" s="2" t="str">
        <f>"2018013509"</f>
        <v>2018013509</v>
      </c>
      <c r="H284" s="2">
        <v>47</v>
      </c>
      <c r="I284" s="2">
        <v>80</v>
      </c>
      <c r="J284" s="2">
        <f t="shared" si="21"/>
        <v>70.099999999999994</v>
      </c>
      <c r="K284" s="2"/>
      <c r="L284" s="6">
        <v>35</v>
      </c>
      <c r="M284" s="6">
        <v>9</v>
      </c>
    </row>
    <row r="285" spans="1:13" ht="18.75" customHeight="1">
      <c r="A285" s="6" t="str">
        <f>"10522018030212042283120"</f>
        <v>10522018030212042283120</v>
      </c>
      <c r="B285" s="4">
        <v>283</v>
      </c>
      <c r="C285" s="1" t="s">
        <v>16</v>
      </c>
      <c r="D285" s="2" t="str">
        <f t="shared" si="22"/>
        <v>女</v>
      </c>
      <c r="E285" s="2" t="str">
        <f>"341621199408183125"</f>
        <v>341621199408183125</v>
      </c>
      <c r="F285" s="3" t="str">
        <f>"助产"</f>
        <v>助产</v>
      </c>
      <c r="G285" s="2" t="str">
        <f>"2018013315"</f>
        <v>2018013315</v>
      </c>
      <c r="H285" s="2">
        <v>39</v>
      </c>
      <c r="I285" s="2">
        <v>83</v>
      </c>
      <c r="J285" s="2">
        <f t="shared" si="21"/>
        <v>69.8</v>
      </c>
      <c r="K285" s="2"/>
      <c r="L285" s="6">
        <v>33</v>
      </c>
      <c r="M285" s="6">
        <v>15</v>
      </c>
    </row>
    <row r="286" spans="1:13" ht="18.75" customHeight="1">
      <c r="A286" s="6" t="str">
        <f>"10522018030112190082863"</f>
        <v>10522018030112190082863</v>
      </c>
      <c r="B286" s="4">
        <v>284</v>
      </c>
      <c r="C286" s="1" t="s">
        <v>17</v>
      </c>
      <c r="D286" s="2" t="str">
        <f>"男"</f>
        <v>男</v>
      </c>
      <c r="E286" s="2" t="str">
        <f>"341621199512151510"</f>
        <v>341621199512151510</v>
      </c>
      <c r="F286" s="3" t="str">
        <f>"预防医学"</f>
        <v>预防医学</v>
      </c>
      <c r="G286" s="2" t="str">
        <f>"2018014020"</f>
        <v>2018014020</v>
      </c>
      <c r="H286" s="2">
        <v>71</v>
      </c>
      <c r="I286" s="2">
        <v>75</v>
      </c>
      <c r="J286" s="2">
        <f t="shared" si="21"/>
        <v>73.8</v>
      </c>
      <c r="K286" s="2"/>
      <c r="L286" s="6">
        <v>40</v>
      </c>
      <c r="M286" s="6">
        <v>20</v>
      </c>
    </row>
    <row r="287" spans="1:13" ht="18.75" customHeight="1">
      <c r="A287" s="6" t="str">
        <f>"10522018030122134483042"</f>
        <v>10522018030122134483042</v>
      </c>
      <c r="B287" s="4">
        <v>285</v>
      </c>
      <c r="C287" s="1" t="s">
        <v>18</v>
      </c>
      <c r="D287" s="2" t="str">
        <f>"男"</f>
        <v>男</v>
      </c>
      <c r="E287" s="2" t="str">
        <f>"341223199503060319"</f>
        <v>341223199503060319</v>
      </c>
      <c r="F287" s="3" t="str">
        <f>"预防医学"</f>
        <v>预防医学</v>
      </c>
      <c r="G287" s="2" t="str">
        <f>"2018014023"</f>
        <v>2018014023</v>
      </c>
      <c r="H287" s="2">
        <v>73</v>
      </c>
      <c r="I287" s="2">
        <v>101</v>
      </c>
      <c r="J287" s="2">
        <f t="shared" si="21"/>
        <v>92.6</v>
      </c>
      <c r="K287" s="2"/>
      <c r="L287" s="6">
        <v>40</v>
      </c>
      <c r="M287" s="6">
        <v>23</v>
      </c>
    </row>
    <row r="288" spans="1:13" ht="18.75" customHeight="1">
      <c r="A288" s="6" t="str">
        <f>"10522018022620253682057"</f>
        <v>10522018022620253682057</v>
      </c>
      <c r="B288" s="4">
        <v>286</v>
      </c>
      <c r="C288" s="1" t="s">
        <v>18</v>
      </c>
      <c r="D288" s="2" t="str">
        <f>"男"</f>
        <v>男</v>
      </c>
      <c r="E288" s="2" t="str">
        <f>"341281199502230711"</f>
        <v>341281199502230711</v>
      </c>
      <c r="F288" s="3" t="str">
        <f>"预防医学专业"</f>
        <v>预防医学专业</v>
      </c>
      <c r="G288" s="2" t="str">
        <f>"2018014024"</f>
        <v>2018014024</v>
      </c>
      <c r="H288" s="2">
        <v>63</v>
      </c>
      <c r="I288" s="2">
        <v>91.5</v>
      </c>
      <c r="J288" s="2">
        <f t="shared" si="21"/>
        <v>82.949999999999989</v>
      </c>
      <c r="K288" s="2"/>
      <c r="L288" s="6">
        <v>40</v>
      </c>
      <c r="M288" s="6">
        <v>24</v>
      </c>
    </row>
    <row r="289" spans="1:13" ht="18.75" customHeight="1">
      <c r="A289" s="6" t="str">
        <f>"10522018022709532482157"</f>
        <v>10522018022709532482157</v>
      </c>
      <c r="B289" s="4">
        <v>287</v>
      </c>
      <c r="C289" s="1" t="s">
        <v>18</v>
      </c>
      <c r="D289" s="2" t="str">
        <f>"女"</f>
        <v>女</v>
      </c>
      <c r="E289" s="2" t="str">
        <f>"341281199212216065"</f>
        <v>341281199212216065</v>
      </c>
      <c r="F289" s="3" t="str">
        <f>"预防医学"</f>
        <v>预防医学</v>
      </c>
      <c r="G289" s="2" t="str">
        <f>"2018014022"</f>
        <v>2018014022</v>
      </c>
      <c r="H289" s="2">
        <v>55</v>
      </c>
      <c r="I289" s="2">
        <v>84.5</v>
      </c>
      <c r="J289" s="2">
        <f t="shared" si="21"/>
        <v>75.650000000000006</v>
      </c>
      <c r="K289" s="2"/>
      <c r="L289" s="6">
        <v>40</v>
      </c>
      <c r="M289" s="6">
        <v>22</v>
      </c>
    </row>
    <row r="290" spans="1:13" ht="18.75" customHeight="1">
      <c r="A290" s="6" t="str">
        <f>"10522018022813025882578"</f>
        <v>10522018022813025882578</v>
      </c>
      <c r="B290" s="4">
        <v>288</v>
      </c>
      <c r="C290" s="1" t="s">
        <v>19</v>
      </c>
      <c r="D290" s="2" t="str">
        <f>"女"</f>
        <v>女</v>
      </c>
      <c r="E290" s="2" t="str">
        <f>"341621199502063728"</f>
        <v>341621199502063728</v>
      </c>
      <c r="F290" s="3" t="str">
        <f>"统计学"</f>
        <v>统计学</v>
      </c>
      <c r="G290" s="2" t="str">
        <f>"2018014104"</f>
        <v>2018014104</v>
      </c>
      <c r="H290" s="2">
        <v>47.5</v>
      </c>
      <c r="I290" s="2">
        <v>75</v>
      </c>
      <c r="J290" s="2">
        <f t="shared" si="21"/>
        <v>66.75</v>
      </c>
      <c r="K290" s="2"/>
      <c r="L290" s="6">
        <v>41</v>
      </c>
      <c r="M290" s="6">
        <v>4</v>
      </c>
    </row>
    <row r="291" spans="1:13" ht="18.75" customHeight="1">
      <c r="A291" s="6" t="str">
        <f>"10522018030107413382780"</f>
        <v>10522018030107413382780</v>
      </c>
      <c r="B291" s="4">
        <v>289</v>
      </c>
      <c r="C291" s="1" t="s">
        <v>19</v>
      </c>
      <c r="D291" s="2" t="str">
        <f>"男"</f>
        <v>男</v>
      </c>
      <c r="E291" s="2" t="str">
        <f>"341281198810067472"</f>
        <v>341281198810067472</v>
      </c>
      <c r="F291" s="3" t="str">
        <f>"统计学"</f>
        <v>统计学</v>
      </c>
      <c r="G291" s="2" t="str">
        <f>"2018014103"</f>
        <v>2018014103</v>
      </c>
      <c r="H291" s="2">
        <v>57</v>
      </c>
      <c r="I291" s="2">
        <v>70</v>
      </c>
      <c r="J291" s="2">
        <f t="shared" si="21"/>
        <v>66.099999999999994</v>
      </c>
      <c r="K291" s="2"/>
      <c r="L291" s="6">
        <v>41</v>
      </c>
      <c r="M291" s="6">
        <v>3</v>
      </c>
    </row>
    <row r="292" spans="1:13" ht="18.75" customHeight="1">
      <c r="A292" s="6" t="str">
        <f>"10522018022715555782294"</f>
        <v>10522018022715555782294</v>
      </c>
      <c r="B292" s="4">
        <v>290</v>
      </c>
      <c r="C292" s="1" t="s">
        <v>19</v>
      </c>
      <c r="D292" s="2" t="str">
        <f>"女"</f>
        <v>女</v>
      </c>
      <c r="E292" s="2" t="str">
        <f>"341621199605101723"</f>
        <v>341621199605101723</v>
      </c>
      <c r="F292" s="3" t="str">
        <f>"统计学"</f>
        <v>统计学</v>
      </c>
      <c r="G292" s="2" t="str">
        <f>"2018014101"</f>
        <v>2018014101</v>
      </c>
      <c r="H292" s="2">
        <v>47.5</v>
      </c>
      <c r="I292" s="2">
        <v>65.5</v>
      </c>
      <c r="J292" s="2">
        <f t="shared" si="21"/>
        <v>60.099999999999994</v>
      </c>
      <c r="K292" s="2"/>
      <c r="L292" s="6">
        <v>41</v>
      </c>
      <c r="M292" s="6">
        <v>1</v>
      </c>
    </row>
    <row r="293" spans="1:13" ht="18.75" customHeight="1">
      <c r="A293" s="6" t="str">
        <f>"10522018022719090082356"</f>
        <v>10522018022719090082356</v>
      </c>
      <c r="B293" s="4">
        <v>291</v>
      </c>
      <c r="C293" s="1" t="s">
        <v>20</v>
      </c>
      <c r="D293" s="2" t="str">
        <f>"男"</f>
        <v>男</v>
      </c>
      <c r="E293" s="2" t="str">
        <f>"34162119950405311X"</f>
        <v>34162119950405311X</v>
      </c>
      <c r="F293" s="3" t="str">
        <f>"中医学"</f>
        <v>中医学</v>
      </c>
      <c r="G293" s="2" t="str">
        <f>"2018014114"</f>
        <v>2018014114</v>
      </c>
      <c r="H293" s="2">
        <v>56</v>
      </c>
      <c r="I293" s="2">
        <v>95</v>
      </c>
      <c r="J293" s="2">
        <f t="shared" si="21"/>
        <v>83.3</v>
      </c>
      <c r="K293" s="2"/>
      <c r="L293" s="6">
        <v>41</v>
      </c>
      <c r="M293" s="6">
        <v>14</v>
      </c>
    </row>
    <row r="294" spans="1:13" ht="18.75" customHeight="1">
      <c r="A294" s="6" t="str">
        <f>"10522018030109432882810"</f>
        <v>10522018030109432882810</v>
      </c>
      <c r="B294" s="4">
        <v>292</v>
      </c>
      <c r="C294" s="1" t="s">
        <v>20</v>
      </c>
      <c r="D294" s="2" t="str">
        <f>"男"</f>
        <v>男</v>
      </c>
      <c r="E294" s="2" t="str">
        <f>"341602199312023478"</f>
        <v>341602199312023478</v>
      </c>
      <c r="F294" s="3" t="str">
        <f>"中医学"</f>
        <v>中医学</v>
      </c>
      <c r="G294" s="2" t="str">
        <f>"2018014109"</f>
        <v>2018014109</v>
      </c>
      <c r="H294" s="2">
        <v>52.5</v>
      </c>
      <c r="I294" s="2">
        <v>93</v>
      </c>
      <c r="J294" s="2">
        <f t="shared" si="21"/>
        <v>80.849999999999994</v>
      </c>
      <c r="K294" s="2"/>
      <c r="L294" s="6">
        <v>41</v>
      </c>
      <c r="M294" s="6">
        <v>9</v>
      </c>
    </row>
    <row r="295" spans="1:13" ht="18.75" customHeight="1">
      <c r="A295" s="6" t="str">
        <f>"10522018022609113281586"</f>
        <v>10522018022609113281586</v>
      </c>
      <c r="B295" s="4">
        <v>293</v>
      </c>
      <c r="C295" s="1" t="s">
        <v>20</v>
      </c>
      <c r="D295" s="2" t="str">
        <f>"女"</f>
        <v>女</v>
      </c>
      <c r="E295" s="2" t="str">
        <f>"342222199209116048"</f>
        <v>342222199209116048</v>
      </c>
      <c r="F295" s="3" t="str">
        <f>"中医学"</f>
        <v>中医学</v>
      </c>
      <c r="G295" s="2" t="str">
        <f>"2018014113"</f>
        <v>2018014113</v>
      </c>
      <c r="H295" s="2">
        <v>52.5</v>
      </c>
      <c r="I295" s="2">
        <v>79</v>
      </c>
      <c r="J295" s="2">
        <f t="shared" si="21"/>
        <v>71.05</v>
      </c>
      <c r="K295" s="2"/>
      <c r="L295" s="6">
        <v>41</v>
      </c>
      <c r="M295" s="6">
        <v>13</v>
      </c>
    </row>
    <row r="296" spans="1:13" ht="18.75" customHeight="1">
      <c r="A296" s="6" t="str">
        <f>"10522018022813311182591"</f>
        <v>10522018022813311182591</v>
      </c>
      <c r="B296" s="4">
        <v>294</v>
      </c>
      <c r="C296" s="1" t="s">
        <v>21</v>
      </c>
      <c r="D296" s="2" t="str">
        <f>"女"</f>
        <v>女</v>
      </c>
      <c r="E296" s="2" t="str">
        <f>"341223199207125165"</f>
        <v>341223199207125165</v>
      </c>
      <c r="F296" s="3" t="str">
        <f>"临床医学"</f>
        <v>临床医学</v>
      </c>
      <c r="G296" s="2" t="str">
        <f>"2018013614"</f>
        <v>2018013614</v>
      </c>
      <c r="H296" s="2">
        <v>50</v>
      </c>
      <c r="I296" s="2">
        <v>83</v>
      </c>
      <c r="J296" s="2">
        <f t="shared" si="21"/>
        <v>73.099999999999994</v>
      </c>
      <c r="K296" s="2"/>
      <c r="L296" s="6">
        <v>36</v>
      </c>
      <c r="M296" s="6">
        <v>14</v>
      </c>
    </row>
    <row r="297" spans="1:13" ht="18.75" customHeight="1">
      <c r="A297" s="6" t="str">
        <f>"10522018022712044182209"</f>
        <v>10522018022712044182209</v>
      </c>
      <c r="B297" s="4">
        <v>295</v>
      </c>
      <c r="C297" s="1" t="s">
        <v>21</v>
      </c>
      <c r="D297" s="2" t="str">
        <f>"男"</f>
        <v>男</v>
      </c>
      <c r="E297" s="2" t="str">
        <f>"142622199010223211"</f>
        <v>142622199010223211</v>
      </c>
      <c r="F297" s="3" t="str">
        <f>"临床医学"</f>
        <v>临床医学</v>
      </c>
      <c r="G297" s="2" t="str">
        <f>"2018013617"</f>
        <v>2018013617</v>
      </c>
      <c r="H297" s="2">
        <v>44</v>
      </c>
      <c r="I297" s="2">
        <v>71</v>
      </c>
      <c r="J297" s="2">
        <f t="shared" si="21"/>
        <v>62.899999999999991</v>
      </c>
      <c r="K297" s="2"/>
      <c r="L297" s="6">
        <v>36</v>
      </c>
      <c r="M297" s="6">
        <v>17</v>
      </c>
    </row>
    <row r="298" spans="1:13" ht="18.75" customHeight="1">
      <c r="A298" s="6" t="str">
        <f>"10522018030214065583152"</f>
        <v>10522018030214065583152</v>
      </c>
      <c r="B298" s="4">
        <v>296</v>
      </c>
      <c r="C298" s="1" t="s">
        <v>21</v>
      </c>
      <c r="D298" s="2" t="str">
        <f>"男"</f>
        <v>男</v>
      </c>
      <c r="E298" s="2" t="str">
        <f>"341223199301150930"</f>
        <v>341223199301150930</v>
      </c>
      <c r="F298" s="3" t="str">
        <f>"临床医学"</f>
        <v>临床医学</v>
      </c>
      <c r="G298" s="2" t="str">
        <f>"2018013618"</f>
        <v>2018013618</v>
      </c>
      <c r="H298" s="2">
        <v>41</v>
      </c>
      <c r="I298" s="2">
        <v>72</v>
      </c>
      <c r="J298" s="2">
        <f t="shared" si="21"/>
        <v>62.699999999999996</v>
      </c>
      <c r="K298" s="2"/>
      <c r="L298" s="6">
        <v>36</v>
      </c>
      <c r="M298" s="6">
        <v>18</v>
      </c>
    </row>
    <row r="299" spans="1:13" ht="18.75" customHeight="1">
      <c r="A299" s="6" t="str">
        <f>"10522018022620352482066"</f>
        <v>10522018022620352482066</v>
      </c>
      <c r="B299" s="4">
        <v>297</v>
      </c>
      <c r="C299" s="1" t="s">
        <v>22</v>
      </c>
      <c r="D299" s="2" t="str">
        <f>"女"</f>
        <v>女</v>
      </c>
      <c r="E299" s="2" t="str">
        <f>"210283199506300521"</f>
        <v>210283199506300521</v>
      </c>
      <c r="F299" s="3" t="str">
        <f>"麻醉学"</f>
        <v>麻醉学</v>
      </c>
      <c r="G299" s="2" t="str">
        <f>"2018013626"</f>
        <v>2018013626</v>
      </c>
      <c r="H299" s="2">
        <v>51.5</v>
      </c>
      <c r="I299" s="2">
        <v>83</v>
      </c>
      <c r="J299" s="2">
        <f t="shared" si="21"/>
        <v>73.55</v>
      </c>
      <c r="K299" s="2"/>
      <c r="L299" s="6">
        <v>36</v>
      </c>
      <c r="M299" s="6">
        <v>26</v>
      </c>
    </row>
    <row r="300" spans="1:13" ht="18.75" customHeight="1">
      <c r="A300" s="6" t="str">
        <f>"10522018022610422481701"</f>
        <v>10522018022610422481701</v>
      </c>
      <c r="B300" s="4">
        <v>298</v>
      </c>
      <c r="C300" s="1" t="s">
        <v>23</v>
      </c>
      <c r="D300" s="2" t="str">
        <f>"男"</f>
        <v>男</v>
      </c>
      <c r="E300" s="2" t="str">
        <f>"341281199111262855"</f>
        <v>341281199111262855</v>
      </c>
      <c r="F300" s="3" t="str">
        <f>"口腔医学"</f>
        <v>口腔医学</v>
      </c>
      <c r="G300" s="2" t="str">
        <f>"2018013712"</f>
        <v>2018013712</v>
      </c>
      <c r="H300" s="2">
        <v>46</v>
      </c>
      <c r="I300" s="2">
        <v>88</v>
      </c>
      <c r="J300" s="2">
        <f t="shared" si="21"/>
        <v>75.399999999999991</v>
      </c>
      <c r="K300" s="2"/>
      <c r="L300" s="6">
        <v>37</v>
      </c>
      <c r="M300" s="6">
        <v>12</v>
      </c>
    </row>
    <row r="301" spans="1:13" ht="18.75" customHeight="1">
      <c r="A301" s="6" t="str">
        <f>"10522018022609112781585"</f>
        <v>10522018022609112781585</v>
      </c>
      <c r="B301" s="4">
        <v>299</v>
      </c>
      <c r="C301" s="1" t="s">
        <v>23</v>
      </c>
      <c r="D301" s="2" t="str">
        <f>"男"</f>
        <v>男</v>
      </c>
      <c r="E301" s="2" t="str">
        <f>"341281199409073213"</f>
        <v>341281199409073213</v>
      </c>
      <c r="F301" s="3" t="str">
        <f>"口腔医学"</f>
        <v>口腔医学</v>
      </c>
      <c r="G301" s="2" t="str">
        <f>"2018013710"</f>
        <v>2018013710</v>
      </c>
      <c r="H301" s="2">
        <v>60</v>
      </c>
      <c r="I301" s="2">
        <v>71</v>
      </c>
      <c r="J301" s="2">
        <f t="shared" si="21"/>
        <v>67.699999999999989</v>
      </c>
      <c r="K301" s="2"/>
      <c r="L301" s="6">
        <v>37</v>
      </c>
      <c r="M301" s="6">
        <v>10</v>
      </c>
    </row>
    <row r="302" spans="1:13" ht="18.75" customHeight="1">
      <c r="A302" s="6" t="str">
        <f>"10522018022814591782625"</f>
        <v>10522018022814591782625</v>
      </c>
      <c r="B302" s="4">
        <v>300</v>
      </c>
      <c r="C302" s="1" t="s">
        <v>24</v>
      </c>
      <c r="D302" s="2" t="str">
        <f>"女"</f>
        <v>女</v>
      </c>
      <c r="E302" s="2" t="str">
        <f>"340621199309141623"</f>
        <v>340621199309141623</v>
      </c>
      <c r="F302" s="3" t="str">
        <f>"医学检验"</f>
        <v>医学检验</v>
      </c>
      <c r="G302" s="2" t="str">
        <f>"2018013913"</f>
        <v>2018013913</v>
      </c>
      <c r="H302" s="2">
        <v>59.5</v>
      </c>
      <c r="I302" s="2">
        <v>99</v>
      </c>
      <c r="J302" s="2">
        <f t="shared" si="21"/>
        <v>87.149999999999991</v>
      </c>
      <c r="K302" s="2"/>
      <c r="L302" s="6">
        <v>39</v>
      </c>
      <c r="M302" s="6">
        <v>13</v>
      </c>
    </row>
    <row r="303" spans="1:13" ht="18.75" customHeight="1">
      <c r="A303" s="6" t="str">
        <f>"10522018022719330882369"</f>
        <v>10522018022719330882369</v>
      </c>
      <c r="B303" s="4">
        <v>301</v>
      </c>
      <c r="C303" s="1" t="s">
        <v>24</v>
      </c>
      <c r="D303" s="2" t="str">
        <f>"男"</f>
        <v>男</v>
      </c>
      <c r="E303" s="2" t="str">
        <f>"341226199509250411"</f>
        <v>341226199509250411</v>
      </c>
      <c r="F303" s="3" t="str">
        <f>"医学检验技术"</f>
        <v>医学检验技术</v>
      </c>
      <c r="G303" s="2" t="str">
        <f>"2018010429"</f>
        <v>2018010429</v>
      </c>
      <c r="H303" s="2">
        <v>53</v>
      </c>
      <c r="I303" s="2">
        <v>101</v>
      </c>
      <c r="J303" s="2">
        <f t="shared" si="21"/>
        <v>86.6</v>
      </c>
      <c r="K303" s="2"/>
      <c r="L303" s="6">
        <v>4</v>
      </c>
      <c r="M303" s="6">
        <v>29</v>
      </c>
    </row>
    <row r="304" spans="1:13" ht="18.75" customHeight="1">
      <c r="A304" s="6" t="str">
        <f>"10522018022717382682317"</f>
        <v>10522018022717382682317</v>
      </c>
      <c r="B304" s="4">
        <v>302</v>
      </c>
      <c r="C304" s="1" t="s">
        <v>24</v>
      </c>
      <c r="D304" s="2" t="str">
        <f>"女"</f>
        <v>女</v>
      </c>
      <c r="E304" s="2" t="str">
        <f>"341281199209087469"</f>
        <v>341281199209087469</v>
      </c>
      <c r="F304" s="3" t="str">
        <f>"医学检验"</f>
        <v>医学检验</v>
      </c>
      <c r="G304" s="2" t="str">
        <f>"2018013909"</f>
        <v>2018013909</v>
      </c>
      <c r="H304" s="2">
        <v>63</v>
      </c>
      <c r="I304" s="2">
        <v>88</v>
      </c>
      <c r="J304" s="2">
        <f t="shared" si="21"/>
        <v>80.5</v>
      </c>
      <c r="K304" s="2"/>
      <c r="L304" s="6">
        <v>39</v>
      </c>
      <c r="M304" s="6">
        <v>9</v>
      </c>
    </row>
    <row r="305" spans="1:13" ht="18.75" customHeight="1">
      <c r="A305" s="6" t="str">
        <f>"10522018022613293981846"</f>
        <v>10522018022613293981846</v>
      </c>
      <c r="B305" s="4">
        <v>303</v>
      </c>
      <c r="C305" s="1" t="s">
        <v>24</v>
      </c>
      <c r="D305" s="2" t="str">
        <f>"女"</f>
        <v>女</v>
      </c>
      <c r="E305" s="2" t="str">
        <f>"341222199608068206"</f>
        <v>341222199608068206</v>
      </c>
      <c r="F305" s="3" t="str">
        <f>"医学检验技术"</f>
        <v>医学检验技术</v>
      </c>
      <c r="G305" s="2" t="str">
        <f>"2018013908"</f>
        <v>2018013908</v>
      </c>
      <c r="H305" s="2">
        <v>52</v>
      </c>
      <c r="I305" s="2">
        <v>90</v>
      </c>
      <c r="J305" s="2">
        <f t="shared" si="21"/>
        <v>78.599999999999994</v>
      </c>
      <c r="K305" s="2"/>
      <c r="L305" s="6">
        <v>39</v>
      </c>
      <c r="M305" s="6">
        <v>8</v>
      </c>
    </row>
    <row r="306" spans="1:13" ht="18.75" customHeight="1">
      <c r="A306" s="6" t="str">
        <f>"10522018022714573782271"</f>
        <v>10522018022714573782271</v>
      </c>
      <c r="B306" s="4">
        <v>304</v>
      </c>
      <c r="C306" s="1" t="s">
        <v>24</v>
      </c>
      <c r="D306" s="2" t="str">
        <f>"男"</f>
        <v>男</v>
      </c>
      <c r="E306" s="2" t="str">
        <f>"341223199403012176"</f>
        <v>341223199403012176</v>
      </c>
      <c r="F306" s="3" t="str">
        <f>"医学检验技术"</f>
        <v>医学检验技术</v>
      </c>
      <c r="G306" s="2" t="str">
        <f>"2018013907"</f>
        <v>2018013907</v>
      </c>
      <c r="H306" s="2">
        <v>67.5</v>
      </c>
      <c r="I306" s="2">
        <v>83</v>
      </c>
      <c r="J306" s="2">
        <f t="shared" si="21"/>
        <v>78.349999999999994</v>
      </c>
      <c r="K306" s="2"/>
      <c r="L306" s="6">
        <v>39</v>
      </c>
      <c r="M306" s="6">
        <v>7</v>
      </c>
    </row>
    <row r="307" spans="1:13" ht="18.75" customHeight="1">
      <c r="A307" s="6" t="str">
        <f>"10522018022609015981558"</f>
        <v>10522018022609015981558</v>
      </c>
      <c r="B307" s="4">
        <v>305</v>
      </c>
      <c r="C307" s="1" t="s">
        <v>24</v>
      </c>
      <c r="D307" s="2" t="str">
        <f>"女"</f>
        <v>女</v>
      </c>
      <c r="E307" s="2" t="str">
        <f>"340621199006087869"</f>
        <v>340621199006087869</v>
      </c>
      <c r="F307" s="3" t="str">
        <f>"医学检验"</f>
        <v>医学检验</v>
      </c>
      <c r="G307" s="2" t="str">
        <f>"2018013906"</f>
        <v>2018013906</v>
      </c>
      <c r="H307" s="2">
        <v>37</v>
      </c>
      <c r="I307" s="2">
        <v>93</v>
      </c>
      <c r="J307" s="2">
        <f t="shared" si="21"/>
        <v>76.199999999999989</v>
      </c>
      <c r="K307" s="2"/>
      <c r="L307" s="6">
        <v>39</v>
      </c>
      <c r="M307" s="6">
        <v>6</v>
      </c>
    </row>
    <row r="308" spans="1:13" ht="18.75" customHeight="1">
      <c r="A308" s="6" t="str">
        <f>"10522018022618392282017"</f>
        <v>10522018022618392282017</v>
      </c>
      <c r="B308" s="4">
        <v>306</v>
      </c>
      <c r="C308" s="1" t="s">
        <v>24</v>
      </c>
      <c r="D308" s="2" t="str">
        <f>"男"</f>
        <v>男</v>
      </c>
      <c r="E308" s="2" t="str">
        <f>"341281199510162456"</f>
        <v>341281199510162456</v>
      </c>
      <c r="F308" s="3" t="str">
        <f>"医学检验技术"</f>
        <v>医学检验技术</v>
      </c>
      <c r="G308" s="2" t="str">
        <f>"2018013911"</f>
        <v>2018013911</v>
      </c>
      <c r="H308" s="2">
        <v>55.5</v>
      </c>
      <c r="I308" s="2">
        <v>73</v>
      </c>
      <c r="J308" s="2">
        <f t="shared" si="21"/>
        <v>67.75</v>
      </c>
      <c r="K308" s="2"/>
      <c r="L308" s="6">
        <v>39</v>
      </c>
      <c r="M308" s="6">
        <v>11</v>
      </c>
    </row>
    <row r="309" spans="1:13" ht="18.75" customHeight="1">
      <c r="A309" s="6" t="str">
        <f>"10522018022616092281943"</f>
        <v>10522018022616092281943</v>
      </c>
      <c r="B309" s="4">
        <v>307</v>
      </c>
      <c r="C309" s="1" t="s">
        <v>24</v>
      </c>
      <c r="D309" s="2" t="str">
        <f>"男"</f>
        <v>男</v>
      </c>
      <c r="E309" s="2" t="str">
        <f>"341224199405068719"</f>
        <v>341224199405068719</v>
      </c>
      <c r="F309" s="3" t="str">
        <f>"医学检验技术"</f>
        <v>医学检验技术</v>
      </c>
      <c r="G309" s="2" t="str">
        <f>"2018013905"</f>
        <v>2018013905</v>
      </c>
      <c r="H309" s="2">
        <v>72.5</v>
      </c>
      <c r="I309" s="2">
        <v>65</v>
      </c>
      <c r="J309" s="2">
        <f t="shared" si="21"/>
        <v>67.25</v>
      </c>
      <c r="K309" s="2"/>
      <c r="L309" s="6">
        <v>39</v>
      </c>
      <c r="M309" s="6">
        <v>5</v>
      </c>
    </row>
    <row r="310" spans="1:13" ht="18.75" customHeight="1">
      <c r="A310" s="6" t="str">
        <f>"10522018030209344383089"</f>
        <v>10522018030209344383089</v>
      </c>
      <c r="B310" s="4">
        <v>308</v>
      </c>
      <c r="C310" s="1" t="s">
        <v>25</v>
      </c>
      <c r="D310" s="2" t="str">
        <f t="shared" ref="D310:D315" si="24">"女"</f>
        <v>女</v>
      </c>
      <c r="E310" s="2" t="str">
        <f>"341282199404274047"</f>
        <v>341282199404274047</v>
      </c>
      <c r="F310" s="3" t="str">
        <f t="shared" ref="F310:F316" si="25">"中药学"</f>
        <v>中药学</v>
      </c>
      <c r="G310" s="2" t="str">
        <f>"2018013929"</f>
        <v>2018013929</v>
      </c>
      <c r="H310" s="2">
        <v>52</v>
      </c>
      <c r="I310" s="2">
        <v>88</v>
      </c>
      <c r="J310" s="2">
        <f t="shared" si="21"/>
        <v>77.199999999999989</v>
      </c>
      <c r="K310" s="2"/>
      <c r="L310" s="6">
        <v>39</v>
      </c>
      <c r="M310" s="6">
        <v>29</v>
      </c>
    </row>
    <row r="311" spans="1:13" ht="18.75" customHeight="1">
      <c r="A311" s="6" t="str">
        <f>"10522018022821304682748"</f>
        <v>10522018022821304682748</v>
      </c>
      <c r="B311" s="4">
        <v>309</v>
      </c>
      <c r="C311" s="1" t="s">
        <v>25</v>
      </c>
      <c r="D311" s="2" t="str">
        <f t="shared" si="24"/>
        <v>女</v>
      </c>
      <c r="E311" s="2" t="str">
        <f>"341621199409041727"</f>
        <v>341621199409041727</v>
      </c>
      <c r="F311" s="3" t="str">
        <f t="shared" si="25"/>
        <v>中药学</v>
      </c>
      <c r="G311" s="2" t="str">
        <f>"2018013928"</f>
        <v>2018013928</v>
      </c>
      <c r="H311" s="2">
        <v>68</v>
      </c>
      <c r="I311" s="2">
        <v>74</v>
      </c>
      <c r="J311" s="2">
        <f t="shared" si="21"/>
        <v>72.199999999999989</v>
      </c>
      <c r="K311" s="2"/>
      <c r="L311" s="6">
        <v>39</v>
      </c>
      <c r="M311" s="6">
        <v>28</v>
      </c>
    </row>
    <row r="312" spans="1:13" ht="18.75" customHeight="1">
      <c r="A312" s="6" t="str">
        <f>"10522018022618392382016"</f>
        <v>10522018022618392382016</v>
      </c>
      <c r="B312" s="4">
        <v>310</v>
      </c>
      <c r="C312" s="1" t="s">
        <v>25</v>
      </c>
      <c r="D312" s="2" t="str">
        <f t="shared" si="24"/>
        <v>女</v>
      </c>
      <c r="E312" s="2" t="str">
        <f>"341622199108118723"</f>
        <v>341622199108118723</v>
      </c>
      <c r="F312" s="3" t="str">
        <f t="shared" si="25"/>
        <v>中药学</v>
      </c>
      <c r="G312" s="2" t="str">
        <f>"2018013927"</f>
        <v>2018013927</v>
      </c>
      <c r="H312" s="2">
        <v>71</v>
      </c>
      <c r="I312" s="2">
        <v>70</v>
      </c>
      <c r="J312" s="2">
        <f t="shared" si="21"/>
        <v>70.3</v>
      </c>
      <c r="K312" s="2"/>
      <c r="L312" s="6">
        <v>39</v>
      </c>
      <c r="M312" s="6">
        <v>27</v>
      </c>
    </row>
    <row r="313" spans="1:13" ht="18.75" customHeight="1">
      <c r="A313" s="6" t="str">
        <f>"10522018022617541381998"</f>
        <v>10522018022617541381998</v>
      </c>
      <c r="B313" s="4">
        <v>311</v>
      </c>
      <c r="C313" s="1" t="s">
        <v>25</v>
      </c>
      <c r="D313" s="2" t="str">
        <f t="shared" si="24"/>
        <v>女</v>
      </c>
      <c r="E313" s="2" t="str">
        <f>"341621199212294149"</f>
        <v>341621199212294149</v>
      </c>
      <c r="F313" s="3" t="str">
        <f t="shared" si="25"/>
        <v>中药学</v>
      </c>
      <c r="G313" s="2" t="str">
        <f>"2018013924"</f>
        <v>2018013924</v>
      </c>
      <c r="H313" s="2">
        <v>46.5</v>
      </c>
      <c r="I313" s="2">
        <v>80</v>
      </c>
      <c r="J313" s="2">
        <f t="shared" si="21"/>
        <v>69.95</v>
      </c>
      <c r="K313" s="2"/>
      <c r="L313" s="6">
        <v>39</v>
      </c>
      <c r="M313" s="6">
        <v>24</v>
      </c>
    </row>
    <row r="314" spans="1:13" ht="18.75" customHeight="1">
      <c r="A314" s="6" t="str">
        <f>"10522018022813322782593"</f>
        <v>10522018022813322782593</v>
      </c>
      <c r="B314" s="4">
        <v>312</v>
      </c>
      <c r="C314" s="1" t="s">
        <v>25</v>
      </c>
      <c r="D314" s="2" t="str">
        <f t="shared" si="24"/>
        <v>女</v>
      </c>
      <c r="E314" s="2" t="str">
        <f>"341621199305060720"</f>
        <v>341621199305060720</v>
      </c>
      <c r="F314" s="3" t="str">
        <f t="shared" si="25"/>
        <v>中药学</v>
      </c>
      <c r="G314" s="2" t="str">
        <f>"2018013926"</f>
        <v>2018013926</v>
      </c>
      <c r="H314" s="2">
        <v>45</v>
      </c>
      <c r="I314" s="2">
        <v>78</v>
      </c>
      <c r="J314" s="2">
        <f t="shared" si="21"/>
        <v>68.099999999999994</v>
      </c>
      <c r="K314" s="2"/>
      <c r="L314" s="6">
        <v>39</v>
      </c>
      <c r="M314" s="6">
        <v>26</v>
      </c>
    </row>
    <row r="315" spans="1:13" ht="18.75" customHeight="1">
      <c r="A315" s="6" t="str">
        <f>"10522018022614413181891"</f>
        <v>10522018022614413181891</v>
      </c>
      <c r="B315" s="4">
        <v>313</v>
      </c>
      <c r="C315" s="1" t="s">
        <v>25</v>
      </c>
      <c r="D315" s="2" t="str">
        <f t="shared" si="24"/>
        <v>女</v>
      </c>
      <c r="E315" s="2" t="str">
        <f>"341223199607270724"</f>
        <v>341223199607270724</v>
      </c>
      <c r="F315" s="3" t="str">
        <f t="shared" si="25"/>
        <v>中药学</v>
      </c>
      <c r="G315" s="2" t="str">
        <f>"2018013923"</f>
        <v>2018013923</v>
      </c>
      <c r="H315" s="2">
        <v>63.5</v>
      </c>
      <c r="I315" s="2">
        <v>69</v>
      </c>
      <c r="J315" s="2">
        <f t="shared" si="21"/>
        <v>67.349999999999994</v>
      </c>
      <c r="K315" s="2"/>
      <c r="L315" s="6">
        <v>39</v>
      </c>
      <c r="M315" s="6">
        <v>23</v>
      </c>
    </row>
    <row r="316" spans="1:13" ht="18.75" customHeight="1">
      <c r="A316" s="6" t="str">
        <f>"10522018030110494782829"</f>
        <v>10522018030110494782829</v>
      </c>
      <c r="B316" s="4">
        <v>314</v>
      </c>
      <c r="C316" s="1" t="s">
        <v>25</v>
      </c>
      <c r="D316" s="2" t="str">
        <f>"男"</f>
        <v>男</v>
      </c>
      <c r="E316" s="2" t="str">
        <f>"341227199304061015"</f>
        <v>341227199304061015</v>
      </c>
      <c r="F316" s="3" t="str">
        <f t="shared" si="25"/>
        <v>中药学</v>
      </c>
      <c r="G316" s="2" t="str">
        <f>"2018013921"</f>
        <v>2018013921</v>
      </c>
      <c r="H316" s="2">
        <v>65</v>
      </c>
      <c r="I316" s="2">
        <v>65</v>
      </c>
      <c r="J316" s="2">
        <f t="shared" si="21"/>
        <v>65</v>
      </c>
      <c r="K316" s="2"/>
      <c r="L316" s="6">
        <v>39</v>
      </c>
      <c r="M316" s="6">
        <v>21</v>
      </c>
    </row>
    <row r="317" spans="1:13" ht="18.75" customHeight="1">
      <c r="A317" s="6" t="str">
        <f>"10522018022613520881860"</f>
        <v>10522018022613520881860</v>
      </c>
      <c r="B317" s="4">
        <v>315</v>
      </c>
      <c r="C317" s="1" t="s">
        <v>26</v>
      </c>
      <c r="D317" s="2" t="str">
        <f t="shared" ref="D317:D348" si="26">"女"</f>
        <v>女</v>
      </c>
      <c r="E317" s="2" t="str">
        <f>"341621199608233940"</f>
        <v>341621199608233940</v>
      </c>
      <c r="F317" s="3" t="str">
        <f t="shared" ref="F317:F348" si="27">"护理"</f>
        <v>护理</v>
      </c>
      <c r="G317" s="2" t="str">
        <f>"2018012618"</f>
        <v>2018012618</v>
      </c>
      <c r="H317" s="2">
        <v>53</v>
      </c>
      <c r="I317" s="2">
        <v>104</v>
      </c>
      <c r="J317" s="2">
        <f t="shared" si="21"/>
        <v>88.699999999999989</v>
      </c>
      <c r="K317" s="2"/>
      <c r="L317" s="6">
        <v>26</v>
      </c>
      <c r="M317" s="6">
        <v>18</v>
      </c>
    </row>
    <row r="318" spans="1:13" ht="18.75" customHeight="1">
      <c r="A318" s="6" t="str">
        <f>"10522018022612270181792"</f>
        <v>10522018022612270181792</v>
      </c>
      <c r="B318" s="4">
        <v>316</v>
      </c>
      <c r="C318" s="1" t="s">
        <v>26</v>
      </c>
      <c r="D318" s="2" t="str">
        <f t="shared" si="26"/>
        <v>女</v>
      </c>
      <c r="E318" s="2" t="str">
        <f>"341621199406012525"</f>
        <v>341621199406012525</v>
      </c>
      <c r="F318" s="3" t="str">
        <f t="shared" si="27"/>
        <v>护理</v>
      </c>
      <c r="G318" s="2" t="str">
        <f>"2018012925"</f>
        <v>2018012925</v>
      </c>
      <c r="H318" s="2">
        <v>57.5</v>
      </c>
      <c r="I318" s="2">
        <v>102</v>
      </c>
      <c r="J318" s="2">
        <f t="shared" si="21"/>
        <v>88.649999999999991</v>
      </c>
      <c r="K318" s="2"/>
      <c r="L318" s="6">
        <v>29</v>
      </c>
      <c r="M318" s="6">
        <v>25</v>
      </c>
    </row>
    <row r="319" spans="1:13" ht="18.75" customHeight="1">
      <c r="A319" s="6" t="str">
        <f>"10522018022819392382715"</f>
        <v>10522018022819392382715</v>
      </c>
      <c r="B319" s="4">
        <v>317</v>
      </c>
      <c r="C319" s="1" t="s">
        <v>26</v>
      </c>
      <c r="D319" s="2" t="str">
        <f t="shared" si="26"/>
        <v>女</v>
      </c>
      <c r="E319" s="2" t="str">
        <f>"341623199504113728"</f>
        <v>341623199504113728</v>
      </c>
      <c r="F319" s="3" t="str">
        <f t="shared" si="27"/>
        <v>护理</v>
      </c>
      <c r="G319" s="2" t="str">
        <f>"2018012622"</f>
        <v>2018012622</v>
      </c>
      <c r="H319" s="2">
        <v>60</v>
      </c>
      <c r="I319" s="2">
        <v>100</v>
      </c>
      <c r="J319" s="2">
        <f t="shared" si="21"/>
        <v>88</v>
      </c>
      <c r="K319" s="2"/>
      <c r="L319" s="6">
        <v>26</v>
      </c>
      <c r="M319" s="6">
        <v>22</v>
      </c>
    </row>
    <row r="320" spans="1:13" ht="18.75" customHeight="1">
      <c r="A320" s="6" t="str">
        <f>"10522018022821232882744"</f>
        <v>10522018022821232882744</v>
      </c>
      <c r="B320" s="4">
        <v>318</v>
      </c>
      <c r="C320" s="1" t="s">
        <v>26</v>
      </c>
      <c r="D320" s="2" t="str">
        <f t="shared" si="26"/>
        <v>女</v>
      </c>
      <c r="E320" s="2" t="str">
        <f>"341227199508240488"</f>
        <v>341227199508240488</v>
      </c>
      <c r="F320" s="3" t="str">
        <f t="shared" si="27"/>
        <v>护理</v>
      </c>
      <c r="G320" s="2" t="str">
        <f>"2018013014"</f>
        <v>2018013014</v>
      </c>
      <c r="H320" s="2">
        <v>53</v>
      </c>
      <c r="I320" s="2">
        <v>102</v>
      </c>
      <c r="J320" s="2">
        <f t="shared" si="21"/>
        <v>87.299999999999983</v>
      </c>
      <c r="K320" s="2"/>
      <c r="L320" s="6">
        <v>30</v>
      </c>
      <c r="M320" s="6">
        <v>14</v>
      </c>
    </row>
    <row r="321" spans="1:13" ht="18.75" customHeight="1">
      <c r="A321" s="6" t="str">
        <f>"10522018030121442983035"</f>
        <v>10522018030121442983035</v>
      </c>
      <c r="B321" s="4">
        <v>319</v>
      </c>
      <c r="C321" s="1" t="s">
        <v>26</v>
      </c>
      <c r="D321" s="2" t="str">
        <f t="shared" si="26"/>
        <v>女</v>
      </c>
      <c r="E321" s="2" t="str">
        <f>"341622199507314529"</f>
        <v>341622199507314529</v>
      </c>
      <c r="F321" s="3" t="str">
        <f t="shared" si="27"/>
        <v>护理</v>
      </c>
      <c r="G321" s="2" t="str">
        <f>"2018012611"</f>
        <v>2018012611</v>
      </c>
      <c r="H321" s="2">
        <v>59.5</v>
      </c>
      <c r="I321" s="2">
        <v>99</v>
      </c>
      <c r="J321" s="2">
        <f t="shared" si="21"/>
        <v>87.149999999999991</v>
      </c>
      <c r="K321" s="2"/>
      <c r="L321" s="6">
        <v>26</v>
      </c>
      <c r="M321" s="6">
        <v>11</v>
      </c>
    </row>
    <row r="322" spans="1:13" ht="18.75" customHeight="1">
      <c r="A322" s="6" t="str">
        <f>"10522018030109031782800"</f>
        <v>10522018030109031782800</v>
      </c>
      <c r="B322" s="4">
        <v>320</v>
      </c>
      <c r="C322" s="1" t="s">
        <v>26</v>
      </c>
      <c r="D322" s="2" t="str">
        <f t="shared" si="26"/>
        <v>女</v>
      </c>
      <c r="E322" s="2" t="str">
        <f>"341621199807240326"</f>
        <v>341621199807240326</v>
      </c>
      <c r="F322" s="3" t="str">
        <f t="shared" si="27"/>
        <v>护理</v>
      </c>
      <c r="G322" s="2" t="str">
        <f>"2018012507"</f>
        <v>2018012507</v>
      </c>
      <c r="H322" s="2">
        <v>54.5</v>
      </c>
      <c r="I322" s="2">
        <v>101</v>
      </c>
      <c r="J322" s="2">
        <f t="shared" si="21"/>
        <v>87.049999999999983</v>
      </c>
      <c r="K322" s="2"/>
      <c r="L322" s="6">
        <v>25</v>
      </c>
      <c r="M322" s="6">
        <v>7</v>
      </c>
    </row>
    <row r="323" spans="1:13" ht="18.75" customHeight="1">
      <c r="A323" s="6" t="str">
        <f>"10522018022613144081832"</f>
        <v>10522018022613144081832</v>
      </c>
      <c r="B323" s="4">
        <v>321</v>
      </c>
      <c r="C323" s="1" t="s">
        <v>26</v>
      </c>
      <c r="D323" s="2" t="str">
        <f t="shared" si="26"/>
        <v>女</v>
      </c>
      <c r="E323" s="2" t="str">
        <f>"341223199412124129"</f>
        <v>341223199412124129</v>
      </c>
      <c r="F323" s="3" t="str">
        <f t="shared" si="27"/>
        <v>护理</v>
      </c>
      <c r="G323" s="2" t="str">
        <f>"2018012416"</f>
        <v>2018012416</v>
      </c>
      <c r="H323" s="2">
        <v>50</v>
      </c>
      <c r="I323" s="2">
        <v>102</v>
      </c>
      <c r="J323" s="2">
        <f t="shared" ref="J323:J386" si="28">H323*0.3+I323*0.7</f>
        <v>86.399999999999991</v>
      </c>
      <c r="K323" s="2"/>
      <c r="L323" s="6">
        <v>24</v>
      </c>
      <c r="M323" s="6">
        <v>16</v>
      </c>
    </row>
    <row r="324" spans="1:13" ht="18.75" customHeight="1">
      <c r="A324" s="6" t="str">
        <f>"10522018022609131481590"</f>
        <v>10522018022609131481590</v>
      </c>
      <c r="B324" s="4">
        <v>322</v>
      </c>
      <c r="C324" s="1" t="s">
        <v>26</v>
      </c>
      <c r="D324" s="2" t="str">
        <f t="shared" si="26"/>
        <v>女</v>
      </c>
      <c r="E324" s="2" t="str">
        <f>"341622199607094340"</f>
        <v>341622199607094340</v>
      </c>
      <c r="F324" s="3" t="str">
        <f t="shared" si="27"/>
        <v>护理</v>
      </c>
      <c r="G324" s="2" t="str">
        <f>"2018012429"</f>
        <v>2018012429</v>
      </c>
      <c r="H324" s="2">
        <v>44.5</v>
      </c>
      <c r="I324" s="2">
        <v>104</v>
      </c>
      <c r="J324" s="2">
        <f t="shared" si="28"/>
        <v>86.149999999999991</v>
      </c>
      <c r="K324" s="2"/>
      <c r="L324" s="6">
        <v>24</v>
      </c>
      <c r="M324" s="6">
        <v>29</v>
      </c>
    </row>
    <row r="325" spans="1:13" ht="18.75" customHeight="1">
      <c r="A325" s="6" t="str">
        <f>"10522018030119411983006"</f>
        <v>10522018030119411983006</v>
      </c>
      <c r="B325" s="4">
        <v>323</v>
      </c>
      <c r="C325" s="1" t="s">
        <v>26</v>
      </c>
      <c r="D325" s="2" t="str">
        <f t="shared" si="26"/>
        <v>女</v>
      </c>
      <c r="E325" s="2" t="str">
        <f>"341227199607018743"</f>
        <v>341227199607018743</v>
      </c>
      <c r="F325" s="3" t="str">
        <f t="shared" si="27"/>
        <v>护理</v>
      </c>
      <c r="G325" s="2" t="str">
        <f>"2018012807"</f>
        <v>2018012807</v>
      </c>
      <c r="H325" s="2">
        <v>60.5</v>
      </c>
      <c r="I325" s="2">
        <v>97</v>
      </c>
      <c r="J325" s="2">
        <f t="shared" si="28"/>
        <v>86.049999999999983</v>
      </c>
      <c r="K325" s="2"/>
      <c r="L325" s="6">
        <v>28</v>
      </c>
      <c r="M325" s="6">
        <v>7</v>
      </c>
    </row>
    <row r="326" spans="1:13" ht="18.75" customHeight="1">
      <c r="A326" s="6" t="str">
        <f>"10522018030208032983067"</f>
        <v>10522018030208032983067</v>
      </c>
      <c r="B326" s="4">
        <v>324</v>
      </c>
      <c r="C326" s="1" t="s">
        <v>26</v>
      </c>
      <c r="D326" s="2" t="str">
        <f t="shared" si="26"/>
        <v>女</v>
      </c>
      <c r="E326" s="2" t="str">
        <f>"341223199508120325"</f>
        <v>341223199508120325</v>
      </c>
      <c r="F326" s="3" t="str">
        <f t="shared" si="27"/>
        <v>护理</v>
      </c>
      <c r="G326" s="2" t="str">
        <f>"2018012530"</f>
        <v>2018012530</v>
      </c>
      <c r="H326" s="2">
        <v>43.5</v>
      </c>
      <c r="I326" s="2">
        <v>104</v>
      </c>
      <c r="J326" s="2">
        <f t="shared" si="28"/>
        <v>85.85</v>
      </c>
      <c r="K326" s="2"/>
      <c r="L326" s="6">
        <v>25</v>
      </c>
      <c r="M326" s="6">
        <v>30</v>
      </c>
    </row>
    <row r="327" spans="1:13" ht="18.75" customHeight="1">
      <c r="A327" s="6" t="str">
        <f>"10522018022705282582120"</f>
        <v>10522018022705282582120</v>
      </c>
      <c r="B327" s="4">
        <v>325</v>
      </c>
      <c r="C327" s="1" t="s">
        <v>26</v>
      </c>
      <c r="D327" s="2" t="str">
        <f t="shared" si="26"/>
        <v>女</v>
      </c>
      <c r="E327" s="2" t="str">
        <f>"341223199508121125"</f>
        <v>341223199508121125</v>
      </c>
      <c r="F327" s="3" t="str">
        <f t="shared" si="27"/>
        <v>护理</v>
      </c>
      <c r="G327" s="2" t="str">
        <f>"2018012729"</f>
        <v>2018012729</v>
      </c>
      <c r="H327" s="2">
        <v>52</v>
      </c>
      <c r="I327" s="2">
        <v>100</v>
      </c>
      <c r="J327" s="2">
        <f t="shared" si="28"/>
        <v>85.6</v>
      </c>
      <c r="K327" s="2"/>
      <c r="L327" s="6">
        <v>27</v>
      </c>
      <c r="M327" s="6">
        <v>29</v>
      </c>
    </row>
    <row r="328" spans="1:13" ht="18.75" customHeight="1">
      <c r="A328" s="6" t="str">
        <f>"10522018022822440382767"</f>
        <v>10522018022822440382767</v>
      </c>
      <c r="B328" s="4">
        <v>326</v>
      </c>
      <c r="C328" s="1" t="s">
        <v>26</v>
      </c>
      <c r="D328" s="2" t="str">
        <f t="shared" si="26"/>
        <v>女</v>
      </c>
      <c r="E328" s="2" t="str">
        <f>"340603199506081022"</f>
        <v>340603199506081022</v>
      </c>
      <c r="F328" s="3" t="str">
        <f t="shared" si="27"/>
        <v>护理</v>
      </c>
      <c r="G328" s="2" t="str">
        <f>"2018012909"</f>
        <v>2018012909</v>
      </c>
      <c r="H328" s="2">
        <v>45</v>
      </c>
      <c r="I328" s="2">
        <v>103</v>
      </c>
      <c r="J328" s="2">
        <f t="shared" si="28"/>
        <v>85.6</v>
      </c>
      <c r="K328" s="2"/>
      <c r="L328" s="6">
        <v>29</v>
      </c>
      <c r="M328" s="6">
        <v>9</v>
      </c>
    </row>
    <row r="329" spans="1:13" ht="18.75" customHeight="1">
      <c r="A329" s="6" t="str">
        <f>"10522018022712195982219"</f>
        <v>10522018022712195982219</v>
      </c>
      <c r="B329" s="4">
        <v>327</v>
      </c>
      <c r="C329" s="1" t="s">
        <v>26</v>
      </c>
      <c r="D329" s="2" t="str">
        <f t="shared" si="26"/>
        <v>女</v>
      </c>
      <c r="E329" s="2" t="str">
        <f>"341623199606200048"</f>
        <v>341623199606200048</v>
      </c>
      <c r="F329" s="3" t="str">
        <f t="shared" si="27"/>
        <v>护理</v>
      </c>
      <c r="G329" s="2" t="str">
        <f>"2018012517"</f>
        <v>2018012517</v>
      </c>
      <c r="H329" s="2">
        <v>40</v>
      </c>
      <c r="I329" s="2">
        <v>105</v>
      </c>
      <c r="J329" s="2">
        <f t="shared" si="28"/>
        <v>85.5</v>
      </c>
      <c r="K329" s="2"/>
      <c r="L329" s="6">
        <v>25</v>
      </c>
      <c r="M329" s="6">
        <v>17</v>
      </c>
    </row>
    <row r="330" spans="1:13" ht="18.75" customHeight="1">
      <c r="A330" s="6" t="str">
        <f>"10522018022819155782705"</f>
        <v>10522018022819155782705</v>
      </c>
      <c r="B330" s="4">
        <v>328</v>
      </c>
      <c r="C330" s="1" t="s">
        <v>26</v>
      </c>
      <c r="D330" s="2" t="str">
        <f t="shared" si="26"/>
        <v>女</v>
      </c>
      <c r="E330" s="2" t="str">
        <f>"341281199508143483"</f>
        <v>341281199508143483</v>
      </c>
      <c r="F330" s="3" t="str">
        <f t="shared" si="27"/>
        <v>护理</v>
      </c>
      <c r="G330" s="2" t="str">
        <f>"2018012521"</f>
        <v>2018012521</v>
      </c>
      <c r="H330" s="2">
        <v>44</v>
      </c>
      <c r="I330" s="2">
        <v>103</v>
      </c>
      <c r="J330" s="2">
        <f t="shared" si="28"/>
        <v>85.3</v>
      </c>
      <c r="K330" s="2"/>
      <c r="L330" s="6">
        <v>25</v>
      </c>
      <c r="M330" s="6">
        <v>21</v>
      </c>
    </row>
    <row r="331" spans="1:13" ht="18.75" customHeight="1">
      <c r="A331" s="6" t="str">
        <f>"10522018022815035182627"</f>
        <v>10522018022815035182627</v>
      </c>
      <c r="B331" s="4">
        <v>329</v>
      </c>
      <c r="C331" s="1" t="s">
        <v>26</v>
      </c>
      <c r="D331" s="2" t="str">
        <f t="shared" si="26"/>
        <v>女</v>
      </c>
      <c r="E331" s="2" t="str">
        <f>"341222199501248725"</f>
        <v>341222199501248725</v>
      </c>
      <c r="F331" s="3" t="str">
        <f t="shared" si="27"/>
        <v>护理</v>
      </c>
      <c r="G331" s="2" t="str">
        <f>"2018012519"</f>
        <v>2018012519</v>
      </c>
      <c r="H331" s="2">
        <v>44.5</v>
      </c>
      <c r="I331" s="2">
        <v>102</v>
      </c>
      <c r="J331" s="2">
        <f t="shared" si="28"/>
        <v>84.749999999999986</v>
      </c>
      <c r="K331" s="2"/>
      <c r="L331" s="6">
        <v>25</v>
      </c>
      <c r="M331" s="6">
        <v>19</v>
      </c>
    </row>
    <row r="332" spans="1:13" ht="18.75" customHeight="1">
      <c r="A332" s="6" t="str">
        <f>"10522018030209231783084"</f>
        <v>10522018030209231783084</v>
      </c>
      <c r="B332" s="4">
        <v>330</v>
      </c>
      <c r="C332" s="1" t="s">
        <v>26</v>
      </c>
      <c r="D332" s="2" t="str">
        <f t="shared" si="26"/>
        <v>女</v>
      </c>
      <c r="E332" s="2" t="str">
        <f>"34122719951213002X"</f>
        <v>34122719951213002X</v>
      </c>
      <c r="F332" s="3" t="str">
        <f t="shared" si="27"/>
        <v>护理</v>
      </c>
      <c r="G332" s="2" t="str">
        <f>"2018012920"</f>
        <v>2018012920</v>
      </c>
      <c r="H332" s="2">
        <v>63</v>
      </c>
      <c r="I332" s="2">
        <v>94</v>
      </c>
      <c r="J332" s="2">
        <f t="shared" si="28"/>
        <v>84.699999999999989</v>
      </c>
      <c r="K332" s="2"/>
      <c r="L332" s="6">
        <v>29</v>
      </c>
      <c r="M332" s="6">
        <v>20</v>
      </c>
    </row>
    <row r="333" spans="1:13" ht="18.75" customHeight="1">
      <c r="A333" s="6" t="str">
        <f>"10522018022612592081825"</f>
        <v>10522018022612592081825</v>
      </c>
      <c r="B333" s="4">
        <v>331</v>
      </c>
      <c r="C333" s="1" t="s">
        <v>26</v>
      </c>
      <c r="D333" s="2" t="str">
        <f t="shared" si="26"/>
        <v>女</v>
      </c>
      <c r="E333" s="2" t="str">
        <f>"341621199306202946"</f>
        <v>341621199306202946</v>
      </c>
      <c r="F333" s="3" t="str">
        <f t="shared" si="27"/>
        <v>护理</v>
      </c>
      <c r="G333" s="2" t="str">
        <f>"2018012513"</f>
        <v>2018012513</v>
      </c>
      <c r="H333" s="2">
        <v>45.5</v>
      </c>
      <c r="I333" s="2">
        <v>101</v>
      </c>
      <c r="J333" s="2">
        <f t="shared" si="28"/>
        <v>84.35</v>
      </c>
      <c r="K333" s="2"/>
      <c r="L333" s="6">
        <v>25</v>
      </c>
      <c r="M333" s="6">
        <v>13</v>
      </c>
    </row>
    <row r="334" spans="1:13" ht="18.75" customHeight="1">
      <c r="A334" s="6" t="str">
        <f>"10522018022818280782682"</f>
        <v>10522018022818280782682</v>
      </c>
      <c r="B334" s="4">
        <v>332</v>
      </c>
      <c r="C334" s="1" t="s">
        <v>26</v>
      </c>
      <c r="D334" s="2" t="str">
        <f t="shared" si="26"/>
        <v>女</v>
      </c>
      <c r="E334" s="2" t="str">
        <f>"341223199408102189"</f>
        <v>341223199408102189</v>
      </c>
      <c r="F334" s="3" t="str">
        <f t="shared" si="27"/>
        <v>护理</v>
      </c>
      <c r="G334" s="2" t="str">
        <f>"2018012607"</f>
        <v>2018012607</v>
      </c>
      <c r="H334" s="2">
        <v>41</v>
      </c>
      <c r="I334" s="2">
        <v>102</v>
      </c>
      <c r="J334" s="2">
        <f t="shared" si="28"/>
        <v>83.699999999999989</v>
      </c>
      <c r="K334" s="2"/>
      <c r="L334" s="6">
        <v>26</v>
      </c>
      <c r="M334" s="6">
        <v>7</v>
      </c>
    </row>
    <row r="335" spans="1:13" ht="18.75" customHeight="1">
      <c r="A335" s="6" t="str">
        <f>"10522018022609470081629"</f>
        <v>10522018022609470081629</v>
      </c>
      <c r="B335" s="4">
        <v>333</v>
      </c>
      <c r="C335" s="1" t="s">
        <v>26</v>
      </c>
      <c r="D335" s="2" t="str">
        <f t="shared" si="26"/>
        <v>女</v>
      </c>
      <c r="E335" s="2" t="str">
        <f>"341223199508012367"</f>
        <v>341223199508012367</v>
      </c>
      <c r="F335" s="3" t="str">
        <f t="shared" si="27"/>
        <v>护理</v>
      </c>
      <c r="G335" s="2" t="str">
        <f>"2018012804"</f>
        <v>2018012804</v>
      </c>
      <c r="H335" s="2">
        <v>44.5</v>
      </c>
      <c r="I335" s="2">
        <v>100</v>
      </c>
      <c r="J335" s="2">
        <f t="shared" si="28"/>
        <v>83.35</v>
      </c>
      <c r="K335" s="2"/>
      <c r="L335" s="6">
        <v>28</v>
      </c>
      <c r="M335" s="6">
        <v>4</v>
      </c>
    </row>
    <row r="336" spans="1:13" ht="18.75" customHeight="1">
      <c r="A336" s="6" t="str">
        <f>"10522018022711090882191"</f>
        <v>10522018022711090882191</v>
      </c>
      <c r="B336" s="4">
        <v>334</v>
      </c>
      <c r="C336" s="1" t="s">
        <v>26</v>
      </c>
      <c r="D336" s="2" t="str">
        <f t="shared" si="26"/>
        <v>女</v>
      </c>
      <c r="E336" s="2" t="str">
        <f>"340621199705263649"</f>
        <v>340621199705263649</v>
      </c>
      <c r="F336" s="3" t="str">
        <f t="shared" si="27"/>
        <v>护理</v>
      </c>
      <c r="G336" s="2" t="str">
        <f>"2018012412"</f>
        <v>2018012412</v>
      </c>
      <c r="H336" s="2">
        <v>34.5</v>
      </c>
      <c r="I336" s="2">
        <v>104</v>
      </c>
      <c r="J336" s="2">
        <f t="shared" si="28"/>
        <v>83.149999999999991</v>
      </c>
      <c r="K336" s="2"/>
      <c r="L336" s="6">
        <v>24</v>
      </c>
      <c r="M336" s="6">
        <v>12</v>
      </c>
    </row>
    <row r="337" spans="1:13" ht="18.75" customHeight="1">
      <c r="A337" s="6" t="str">
        <f>"10522018022622061982104"</f>
        <v>10522018022622061982104</v>
      </c>
      <c r="B337" s="4">
        <v>335</v>
      </c>
      <c r="C337" s="1" t="s">
        <v>26</v>
      </c>
      <c r="D337" s="2" t="str">
        <f t="shared" si="26"/>
        <v>女</v>
      </c>
      <c r="E337" s="2" t="str">
        <f>"341281199410047768"</f>
        <v>341281199410047768</v>
      </c>
      <c r="F337" s="3" t="str">
        <f t="shared" si="27"/>
        <v>护理</v>
      </c>
      <c r="G337" s="2" t="str">
        <f>"2018013120"</f>
        <v>2018013120</v>
      </c>
      <c r="H337" s="2">
        <v>39</v>
      </c>
      <c r="I337" s="2">
        <v>102</v>
      </c>
      <c r="J337" s="2">
        <f t="shared" si="28"/>
        <v>83.1</v>
      </c>
      <c r="K337" s="2"/>
      <c r="L337" s="6">
        <v>31</v>
      </c>
      <c r="M337" s="6">
        <v>20</v>
      </c>
    </row>
    <row r="338" spans="1:13" ht="18.75" customHeight="1">
      <c r="A338" s="6" t="str">
        <f>"10522018030115445382935"</f>
        <v>10522018030115445382935</v>
      </c>
      <c r="B338" s="4">
        <v>336</v>
      </c>
      <c r="C338" s="1" t="s">
        <v>26</v>
      </c>
      <c r="D338" s="2" t="str">
        <f t="shared" si="26"/>
        <v>女</v>
      </c>
      <c r="E338" s="2" t="str">
        <f>"341223199402103324"</f>
        <v>341223199402103324</v>
      </c>
      <c r="F338" s="3" t="str">
        <f t="shared" si="27"/>
        <v>护理</v>
      </c>
      <c r="G338" s="2" t="str">
        <f>"2018013118"</f>
        <v>2018013118</v>
      </c>
      <c r="H338" s="2">
        <v>55</v>
      </c>
      <c r="I338" s="2">
        <v>95</v>
      </c>
      <c r="J338" s="2">
        <f t="shared" si="28"/>
        <v>83</v>
      </c>
      <c r="K338" s="2"/>
      <c r="L338" s="6">
        <v>31</v>
      </c>
      <c r="M338" s="6">
        <v>18</v>
      </c>
    </row>
    <row r="339" spans="1:13" ht="18.75" customHeight="1">
      <c r="A339" s="6" t="str">
        <f>"10522018022821110782741"</f>
        <v>10522018022821110782741</v>
      </c>
      <c r="B339" s="4">
        <v>337</v>
      </c>
      <c r="C339" s="1" t="s">
        <v>26</v>
      </c>
      <c r="D339" s="2" t="str">
        <f t="shared" si="26"/>
        <v>女</v>
      </c>
      <c r="E339" s="2" t="str">
        <f>"341621199510015128"</f>
        <v>341621199510015128</v>
      </c>
      <c r="F339" s="3" t="str">
        <f t="shared" si="27"/>
        <v>护理</v>
      </c>
      <c r="G339" s="2" t="str">
        <f>"2018012605"</f>
        <v>2018012605</v>
      </c>
      <c r="H339" s="2">
        <v>52.5</v>
      </c>
      <c r="I339" s="2">
        <v>96</v>
      </c>
      <c r="J339" s="2">
        <f t="shared" si="28"/>
        <v>82.949999999999989</v>
      </c>
      <c r="K339" s="2"/>
      <c r="L339" s="6">
        <v>26</v>
      </c>
      <c r="M339" s="6">
        <v>5</v>
      </c>
    </row>
    <row r="340" spans="1:13" ht="18.75" customHeight="1">
      <c r="A340" s="6" t="str">
        <f>"10522018022819290382711"</f>
        <v>10522018022819290382711</v>
      </c>
      <c r="B340" s="4">
        <v>338</v>
      </c>
      <c r="C340" s="1" t="s">
        <v>26</v>
      </c>
      <c r="D340" s="2" t="str">
        <f t="shared" si="26"/>
        <v>女</v>
      </c>
      <c r="E340" s="2" t="str">
        <f>"341623199503104029"</f>
        <v>341623199503104029</v>
      </c>
      <c r="F340" s="3" t="str">
        <f t="shared" si="27"/>
        <v>护理</v>
      </c>
      <c r="G340" s="2" t="str">
        <f>"2018013101"</f>
        <v>2018013101</v>
      </c>
      <c r="H340" s="2">
        <v>52.5</v>
      </c>
      <c r="I340" s="2">
        <v>96</v>
      </c>
      <c r="J340" s="2">
        <f t="shared" si="28"/>
        <v>82.949999999999989</v>
      </c>
      <c r="K340" s="2"/>
      <c r="L340" s="6">
        <v>31</v>
      </c>
      <c r="M340" s="6">
        <v>1</v>
      </c>
    </row>
    <row r="341" spans="1:13" ht="18.75" customHeight="1">
      <c r="A341" s="6" t="str">
        <f>"10522018022710081482163"</f>
        <v>10522018022710081482163</v>
      </c>
      <c r="B341" s="4">
        <v>339</v>
      </c>
      <c r="C341" s="1" t="s">
        <v>26</v>
      </c>
      <c r="D341" s="2" t="str">
        <f t="shared" si="26"/>
        <v>女</v>
      </c>
      <c r="E341" s="2" t="str">
        <f>"341621199409260081"</f>
        <v>341621199409260081</v>
      </c>
      <c r="F341" s="3" t="str">
        <f t="shared" si="27"/>
        <v>护理</v>
      </c>
      <c r="G341" s="2" t="str">
        <f>"2018012923"</f>
        <v>2018012923</v>
      </c>
      <c r="H341" s="2">
        <v>51.5</v>
      </c>
      <c r="I341" s="2">
        <v>96</v>
      </c>
      <c r="J341" s="2">
        <f t="shared" si="28"/>
        <v>82.649999999999991</v>
      </c>
      <c r="K341" s="2"/>
      <c r="L341" s="6">
        <v>29</v>
      </c>
      <c r="M341" s="6">
        <v>23</v>
      </c>
    </row>
    <row r="342" spans="1:13" ht="18.75" customHeight="1">
      <c r="A342" s="6" t="str">
        <f>"10522018022719240482363"</f>
        <v>10522018022719240482363</v>
      </c>
      <c r="B342" s="4">
        <v>340</v>
      </c>
      <c r="C342" s="1" t="s">
        <v>26</v>
      </c>
      <c r="D342" s="2" t="str">
        <f t="shared" si="26"/>
        <v>女</v>
      </c>
      <c r="E342" s="2" t="str">
        <f>"341281199408248704"</f>
        <v>341281199408248704</v>
      </c>
      <c r="F342" s="3" t="str">
        <f t="shared" si="27"/>
        <v>护理</v>
      </c>
      <c r="G342" s="2" t="str">
        <f>"2018012510"</f>
        <v>2018012510</v>
      </c>
      <c r="H342" s="2">
        <v>55.5</v>
      </c>
      <c r="I342" s="2">
        <v>94</v>
      </c>
      <c r="J342" s="2">
        <f t="shared" si="28"/>
        <v>82.449999999999989</v>
      </c>
      <c r="K342" s="2"/>
      <c r="L342" s="6">
        <v>25</v>
      </c>
      <c r="M342" s="6">
        <v>10</v>
      </c>
    </row>
    <row r="343" spans="1:13" ht="18.75" customHeight="1">
      <c r="A343" s="6" t="str">
        <f>"10522018022808194182463"</f>
        <v>10522018022808194182463</v>
      </c>
      <c r="B343" s="4">
        <v>341</v>
      </c>
      <c r="C343" s="1" t="s">
        <v>26</v>
      </c>
      <c r="D343" s="2" t="str">
        <f t="shared" si="26"/>
        <v>女</v>
      </c>
      <c r="E343" s="2" t="str">
        <f>"34128119960816074X"</f>
        <v>34128119960816074X</v>
      </c>
      <c r="F343" s="3" t="str">
        <f t="shared" si="27"/>
        <v>护理</v>
      </c>
      <c r="G343" s="2" t="str">
        <f>"2018013018"</f>
        <v>2018013018</v>
      </c>
      <c r="H343" s="2">
        <v>29.5</v>
      </c>
      <c r="I343" s="2">
        <v>105</v>
      </c>
      <c r="J343" s="2">
        <f t="shared" si="28"/>
        <v>82.35</v>
      </c>
      <c r="K343" s="2"/>
      <c r="L343" s="6">
        <v>30</v>
      </c>
      <c r="M343" s="6">
        <v>18</v>
      </c>
    </row>
    <row r="344" spans="1:13" ht="18.75" customHeight="1">
      <c r="A344" s="6" t="str">
        <f>"10522018030212280183129"</f>
        <v>10522018030212280183129</v>
      </c>
      <c r="B344" s="4">
        <v>342</v>
      </c>
      <c r="C344" s="1" t="s">
        <v>26</v>
      </c>
      <c r="D344" s="2" t="str">
        <f t="shared" si="26"/>
        <v>女</v>
      </c>
      <c r="E344" s="2" t="str">
        <f>"341223199302100724"</f>
        <v>341223199302100724</v>
      </c>
      <c r="F344" s="3" t="str">
        <f t="shared" si="27"/>
        <v>护理</v>
      </c>
      <c r="G344" s="2" t="str">
        <f>"2018013026"</f>
        <v>2018013026</v>
      </c>
      <c r="H344" s="2">
        <v>48</v>
      </c>
      <c r="I344" s="2">
        <v>97</v>
      </c>
      <c r="J344" s="2">
        <f t="shared" si="28"/>
        <v>82.299999999999983</v>
      </c>
      <c r="K344" s="2"/>
      <c r="L344" s="6">
        <v>30</v>
      </c>
      <c r="M344" s="6">
        <v>26</v>
      </c>
    </row>
    <row r="345" spans="1:13" ht="18.75" customHeight="1">
      <c r="A345" s="6" t="str">
        <f>"10522018030110530882831"</f>
        <v>10522018030110530882831</v>
      </c>
      <c r="B345" s="4">
        <v>343</v>
      </c>
      <c r="C345" s="1" t="s">
        <v>26</v>
      </c>
      <c r="D345" s="2" t="str">
        <f t="shared" si="26"/>
        <v>女</v>
      </c>
      <c r="E345" s="2" t="str">
        <f>"341224199410170427"</f>
        <v>341224199410170427</v>
      </c>
      <c r="F345" s="3" t="str">
        <f t="shared" si="27"/>
        <v>护理</v>
      </c>
      <c r="G345" s="2" t="str">
        <f>"2018013218"</f>
        <v>2018013218</v>
      </c>
      <c r="H345" s="2">
        <v>47.5</v>
      </c>
      <c r="I345" s="2">
        <v>97</v>
      </c>
      <c r="J345" s="2">
        <f t="shared" si="28"/>
        <v>82.149999999999991</v>
      </c>
      <c r="K345" s="2"/>
      <c r="L345" s="6">
        <v>32</v>
      </c>
      <c r="M345" s="6">
        <v>18</v>
      </c>
    </row>
    <row r="346" spans="1:13" ht="18.75" customHeight="1">
      <c r="A346" s="6" t="str">
        <f>"10522018022615235881916"</f>
        <v>10522018022615235881916</v>
      </c>
      <c r="B346" s="4">
        <v>344</v>
      </c>
      <c r="C346" s="1" t="s">
        <v>26</v>
      </c>
      <c r="D346" s="2" t="str">
        <f t="shared" si="26"/>
        <v>女</v>
      </c>
      <c r="E346" s="2" t="str">
        <f>"341223199503201986"</f>
        <v>341223199503201986</v>
      </c>
      <c r="F346" s="3" t="str">
        <f t="shared" si="27"/>
        <v>护理</v>
      </c>
      <c r="G346" s="2" t="str">
        <f>"2018013205"</f>
        <v>2018013205</v>
      </c>
      <c r="H346" s="2">
        <v>52</v>
      </c>
      <c r="I346" s="2">
        <v>95</v>
      </c>
      <c r="J346" s="2">
        <f t="shared" si="28"/>
        <v>82.1</v>
      </c>
      <c r="K346" s="2"/>
      <c r="L346" s="6">
        <v>32</v>
      </c>
      <c r="M346" s="6">
        <v>5</v>
      </c>
    </row>
    <row r="347" spans="1:13" ht="18.75" customHeight="1">
      <c r="A347" s="6" t="str">
        <f>"10522018022820174882726"</f>
        <v>10522018022820174882726</v>
      </c>
      <c r="B347" s="4">
        <v>345</v>
      </c>
      <c r="C347" s="1" t="s">
        <v>26</v>
      </c>
      <c r="D347" s="2" t="str">
        <f t="shared" si="26"/>
        <v>女</v>
      </c>
      <c r="E347" s="2" t="str">
        <f>"341623199502141063"</f>
        <v>341623199502141063</v>
      </c>
      <c r="F347" s="3" t="str">
        <f t="shared" si="27"/>
        <v>护理</v>
      </c>
      <c r="G347" s="2" t="str">
        <f>"2018012528"</f>
        <v>2018012528</v>
      </c>
      <c r="H347" s="2">
        <v>42</v>
      </c>
      <c r="I347" s="2">
        <v>99</v>
      </c>
      <c r="J347" s="2">
        <f t="shared" si="28"/>
        <v>81.899999999999991</v>
      </c>
      <c r="K347" s="2"/>
      <c r="L347" s="6">
        <v>25</v>
      </c>
      <c r="M347" s="6">
        <v>28</v>
      </c>
    </row>
    <row r="348" spans="1:13" ht="18.75" customHeight="1">
      <c r="A348" s="6" t="str">
        <f>"10522018030113392582897"</f>
        <v>10522018030113392582897</v>
      </c>
      <c r="B348" s="4">
        <v>346</v>
      </c>
      <c r="C348" s="1" t="s">
        <v>26</v>
      </c>
      <c r="D348" s="2" t="str">
        <f t="shared" si="26"/>
        <v>女</v>
      </c>
      <c r="E348" s="2" t="str">
        <f>"341623199603156723"</f>
        <v>341623199603156723</v>
      </c>
      <c r="F348" s="3" t="str">
        <f t="shared" si="27"/>
        <v>护理</v>
      </c>
      <c r="G348" s="2" t="str">
        <f>"2018012930"</f>
        <v>2018012930</v>
      </c>
      <c r="H348" s="2">
        <v>55</v>
      </c>
      <c r="I348" s="2">
        <v>93</v>
      </c>
      <c r="J348" s="2">
        <f t="shared" si="28"/>
        <v>81.599999999999994</v>
      </c>
      <c r="K348" s="2"/>
      <c r="L348" s="6">
        <v>29</v>
      </c>
      <c r="M348" s="6">
        <v>30</v>
      </c>
    </row>
    <row r="349" spans="1:13" ht="18.75" customHeight="1">
      <c r="A349" s="6" t="str">
        <f>"10522018030116405182960"</f>
        <v>10522018030116405182960</v>
      </c>
      <c r="B349" s="4">
        <v>347</v>
      </c>
      <c r="C349" s="1" t="s">
        <v>26</v>
      </c>
      <c r="D349" s="2" t="str">
        <f t="shared" ref="D349:D380" si="29">"女"</f>
        <v>女</v>
      </c>
      <c r="E349" s="2" t="str">
        <f>"341621199311085326"</f>
        <v>341621199311085326</v>
      </c>
      <c r="F349" s="3" t="str">
        <f t="shared" ref="F349:F380" si="30">"护理"</f>
        <v>护理</v>
      </c>
      <c r="G349" s="2" t="str">
        <f>"2018013123"</f>
        <v>2018013123</v>
      </c>
      <c r="H349" s="2">
        <v>41</v>
      </c>
      <c r="I349" s="2">
        <v>99</v>
      </c>
      <c r="J349" s="2">
        <f t="shared" si="28"/>
        <v>81.599999999999994</v>
      </c>
      <c r="K349" s="2"/>
      <c r="L349" s="6">
        <v>31</v>
      </c>
      <c r="M349" s="6">
        <v>23</v>
      </c>
    </row>
    <row r="350" spans="1:13" ht="18.75" customHeight="1">
      <c r="A350" s="6" t="str">
        <f>"10522018022818511882694"</f>
        <v>10522018022818511882694</v>
      </c>
      <c r="B350" s="4">
        <v>348</v>
      </c>
      <c r="C350" s="1" t="s">
        <v>26</v>
      </c>
      <c r="D350" s="2" t="str">
        <f t="shared" si="29"/>
        <v>女</v>
      </c>
      <c r="E350" s="2" t="str">
        <f>"34122719941028612X"</f>
        <v>34122719941028612X</v>
      </c>
      <c r="F350" s="3" t="str">
        <f t="shared" si="30"/>
        <v>护理</v>
      </c>
      <c r="G350" s="2" t="str">
        <f>"2018012916"</f>
        <v>2018012916</v>
      </c>
      <c r="H350" s="2">
        <v>42.5</v>
      </c>
      <c r="I350" s="2">
        <v>98</v>
      </c>
      <c r="J350" s="2">
        <f t="shared" si="28"/>
        <v>81.349999999999994</v>
      </c>
      <c r="K350" s="2"/>
      <c r="L350" s="6">
        <v>29</v>
      </c>
      <c r="M350" s="6">
        <v>16</v>
      </c>
    </row>
    <row r="351" spans="1:13" ht="18.75" customHeight="1">
      <c r="A351" s="6" t="str">
        <f>"10522018022808471782470"</f>
        <v>10522018022808471782470</v>
      </c>
      <c r="B351" s="4">
        <v>349</v>
      </c>
      <c r="C351" s="1" t="s">
        <v>26</v>
      </c>
      <c r="D351" s="2" t="str">
        <f t="shared" si="29"/>
        <v>女</v>
      </c>
      <c r="E351" s="2" t="str">
        <f>"34122319960910042X"</f>
        <v>34122319960910042X</v>
      </c>
      <c r="F351" s="3" t="str">
        <f t="shared" si="30"/>
        <v>护理</v>
      </c>
      <c r="G351" s="2" t="str">
        <f>"2018012903"</f>
        <v>2018012903</v>
      </c>
      <c r="H351" s="2">
        <v>47</v>
      </c>
      <c r="I351" s="2">
        <v>96</v>
      </c>
      <c r="J351" s="2">
        <f t="shared" si="28"/>
        <v>81.299999999999983</v>
      </c>
      <c r="K351" s="2"/>
      <c r="L351" s="6">
        <v>29</v>
      </c>
      <c r="M351" s="6">
        <v>3</v>
      </c>
    </row>
    <row r="352" spans="1:13" ht="18.75" customHeight="1">
      <c r="A352" s="6" t="str">
        <f>"10522018022710193682170"</f>
        <v>10522018022710193682170</v>
      </c>
      <c r="B352" s="4">
        <v>350</v>
      </c>
      <c r="C352" s="1" t="s">
        <v>26</v>
      </c>
      <c r="D352" s="2" t="str">
        <f t="shared" si="29"/>
        <v>女</v>
      </c>
      <c r="E352" s="2" t="str">
        <f>"341227199711251027"</f>
        <v>341227199711251027</v>
      </c>
      <c r="F352" s="3" t="str">
        <f t="shared" si="30"/>
        <v>护理</v>
      </c>
      <c r="G352" s="2" t="str">
        <f>"2018012612"</f>
        <v>2018012612</v>
      </c>
      <c r="H352" s="2">
        <v>51</v>
      </c>
      <c r="I352" s="2">
        <v>94</v>
      </c>
      <c r="J352" s="2">
        <f t="shared" si="28"/>
        <v>81.099999999999994</v>
      </c>
      <c r="K352" s="2"/>
      <c r="L352" s="6">
        <v>26</v>
      </c>
      <c r="M352" s="6">
        <v>12</v>
      </c>
    </row>
    <row r="353" spans="1:13" ht="18.75" customHeight="1">
      <c r="A353" s="6" t="str">
        <f>"10522018022810244282508"</f>
        <v>10522018022810244282508</v>
      </c>
      <c r="B353" s="4">
        <v>351</v>
      </c>
      <c r="C353" s="1" t="s">
        <v>26</v>
      </c>
      <c r="D353" s="2" t="str">
        <f t="shared" si="29"/>
        <v>女</v>
      </c>
      <c r="E353" s="2" t="str">
        <f>"34162119940619172X"</f>
        <v>34162119940619172X</v>
      </c>
      <c r="F353" s="3" t="str">
        <f t="shared" si="30"/>
        <v>护理</v>
      </c>
      <c r="G353" s="2" t="str">
        <f>"2018013125"</f>
        <v>2018013125</v>
      </c>
      <c r="H353" s="2">
        <v>55.5</v>
      </c>
      <c r="I353" s="2">
        <v>92</v>
      </c>
      <c r="J353" s="2">
        <f t="shared" si="28"/>
        <v>81.049999999999983</v>
      </c>
      <c r="K353" s="2"/>
      <c r="L353" s="6">
        <v>31</v>
      </c>
      <c r="M353" s="6">
        <v>25</v>
      </c>
    </row>
    <row r="354" spans="1:13" ht="18.75" customHeight="1">
      <c r="A354" s="6" t="str">
        <f>"10522018022610572781726"</f>
        <v>10522018022610572781726</v>
      </c>
      <c r="B354" s="4">
        <v>352</v>
      </c>
      <c r="C354" s="1" t="s">
        <v>26</v>
      </c>
      <c r="D354" s="2" t="str">
        <f t="shared" si="29"/>
        <v>女</v>
      </c>
      <c r="E354" s="2" t="str">
        <f>"341223199703012346"</f>
        <v>341223199703012346</v>
      </c>
      <c r="F354" s="3" t="str">
        <f t="shared" si="30"/>
        <v>护理</v>
      </c>
      <c r="G354" s="2" t="str">
        <f>"2018012708"</f>
        <v>2018012708</v>
      </c>
      <c r="H354" s="2">
        <v>53</v>
      </c>
      <c r="I354" s="2">
        <v>93</v>
      </c>
      <c r="J354" s="2">
        <f t="shared" si="28"/>
        <v>81</v>
      </c>
      <c r="K354" s="2"/>
      <c r="L354" s="6">
        <v>27</v>
      </c>
      <c r="M354" s="6">
        <v>8</v>
      </c>
    </row>
    <row r="355" spans="1:13" ht="18.75" customHeight="1">
      <c r="A355" s="6" t="str">
        <f>"10522018022813052282579"</f>
        <v>10522018022813052282579</v>
      </c>
      <c r="B355" s="4">
        <v>353</v>
      </c>
      <c r="C355" s="1" t="s">
        <v>26</v>
      </c>
      <c r="D355" s="2" t="str">
        <f t="shared" si="29"/>
        <v>女</v>
      </c>
      <c r="E355" s="2" t="str">
        <f>"34122319940803012X"</f>
        <v>34122319940803012X</v>
      </c>
      <c r="F355" s="3" t="str">
        <f t="shared" si="30"/>
        <v>护理</v>
      </c>
      <c r="G355" s="2" t="str">
        <f>"2018012809"</f>
        <v>2018012809</v>
      </c>
      <c r="H355" s="2">
        <v>60</v>
      </c>
      <c r="I355" s="2">
        <v>90</v>
      </c>
      <c r="J355" s="2">
        <f t="shared" si="28"/>
        <v>81</v>
      </c>
      <c r="K355" s="2"/>
      <c r="L355" s="6">
        <v>28</v>
      </c>
      <c r="M355" s="6">
        <v>9</v>
      </c>
    </row>
    <row r="356" spans="1:13" ht="18.75" customHeight="1">
      <c r="A356" s="6" t="str">
        <f>"10522018030113524482902"</f>
        <v>10522018030113524482902</v>
      </c>
      <c r="B356" s="4">
        <v>354</v>
      </c>
      <c r="C356" s="1" t="s">
        <v>26</v>
      </c>
      <c r="D356" s="2" t="str">
        <f t="shared" si="29"/>
        <v>女</v>
      </c>
      <c r="E356" s="2" t="str">
        <f>"341227199503160462"</f>
        <v>341227199503160462</v>
      </c>
      <c r="F356" s="3" t="str">
        <f t="shared" si="30"/>
        <v>护理</v>
      </c>
      <c r="G356" s="2" t="str">
        <f>"2018013229"</f>
        <v>2018013229</v>
      </c>
      <c r="H356" s="2">
        <v>39</v>
      </c>
      <c r="I356" s="2">
        <v>99</v>
      </c>
      <c r="J356" s="2">
        <f t="shared" si="28"/>
        <v>81</v>
      </c>
      <c r="K356" s="2"/>
      <c r="L356" s="6">
        <v>32</v>
      </c>
      <c r="M356" s="6">
        <v>29</v>
      </c>
    </row>
    <row r="357" spans="1:13" ht="18.75" customHeight="1">
      <c r="A357" s="6" t="str">
        <f>"10522018022708431582132"</f>
        <v>10522018022708431582132</v>
      </c>
      <c r="B357" s="4">
        <v>355</v>
      </c>
      <c r="C357" s="1" t="s">
        <v>26</v>
      </c>
      <c r="D357" s="2" t="str">
        <f t="shared" si="29"/>
        <v>女</v>
      </c>
      <c r="E357" s="2" t="str">
        <f>"340322199606066826"</f>
        <v>340322199606066826</v>
      </c>
      <c r="F357" s="3" t="str">
        <f t="shared" si="30"/>
        <v>护理</v>
      </c>
      <c r="G357" s="2" t="str">
        <f>"2018013122"</f>
        <v>2018013122</v>
      </c>
      <c r="H357" s="2">
        <v>36.5</v>
      </c>
      <c r="I357" s="2">
        <v>100</v>
      </c>
      <c r="J357" s="2">
        <f t="shared" si="28"/>
        <v>80.95</v>
      </c>
      <c r="K357" s="2"/>
      <c r="L357" s="6">
        <v>31</v>
      </c>
      <c r="M357" s="6">
        <v>22</v>
      </c>
    </row>
    <row r="358" spans="1:13" ht="18.75" customHeight="1">
      <c r="A358" s="6" t="str">
        <f>"10522018022621545582100"</f>
        <v>10522018022621545582100</v>
      </c>
      <c r="B358" s="4">
        <v>356</v>
      </c>
      <c r="C358" s="1" t="s">
        <v>26</v>
      </c>
      <c r="D358" s="2" t="str">
        <f t="shared" si="29"/>
        <v>女</v>
      </c>
      <c r="E358" s="2" t="str">
        <f>"341223199403041524"</f>
        <v>341223199403041524</v>
      </c>
      <c r="F358" s="3" t="str">
        <f t="shared" si="30"/>
        <v>护理</v>
      </c>
      <c r="G358" s="2" t="str">
        <f>"2018012722"</f>
        <v>2018012722</v>
      </c>
      <c r="H358" s="2">
        <v>52.5</v>
      </c>
      <c r="I358" s="2">
        <v>93</v>
      </c>
      <c r="J358" s="2">
        <f t="shared" si="28"/>
        <v>80.849999999999994</v>
      </c>
      <c r="K358" s="2"/>
      <c r="L358" s="6">
        <v>27</v>
      </c>
      <c r="M358" s="6">
        <v>22</v>
      </c>
    </row>
    <row r="359" spans="1:13" ht="18.75" customHeight="1">
      <c r="A359" s="6" t="str">
        <f>"10522018030120485183024"</f>
        <v>10522018030120485183024</v>
      </c>
      <c r="B359" s="4">
        <v>357</v>
      </c>
      <c r="C359" s="1" t="s">
        <v>26</v>
      </c>
      <c r="D359" s="2" t="str">
        <f t="shared" si="29"/>
        <v>女</v>
      </c>
      <c r="E359" s="2" t="str">
        <f>"341223199508310129"</f>
        <v>341223199508310129</v>
      </c>
      <c r="F359" s="3" t="str">
        <f t="shared" si="30"/>
        <v>护理</v>
      </c>
      <c r="G359" s="2" t="str">
        <f>"2018013227"</f>
        <v>2018013227</v>
      </c>
      <c r="H359" s="2">
        <v>44.5</v>
      </c>
      <c r="I359" s="2">
        <v>96</v>
      </c>
      <c r="J359" s="2">
        <f t="shared" si="28"/>
        <v>80.549999999999983</v>
      </c>
      <c r="K359" s="2"/>
      <c r="L359" s="6">
        <v>32</v>
      </c>
      <c r="M359" s="6">
        <v>27</v>
      </c>
    </row>
    <row r="360" spans="1:13" ht="18.75" customHeight="1">
      <c r="A360" s="6" t="str">
        <f>"10522018022723382182451"</f>
        <v>10522018022723382182451</v>
      </c>
      <c r="B360" s="4">
        <v>358</v>
      </c>
      <c r="C360" s="1" t="s">
        <v>26</v>
      </c>
      <c r="D360" s="2" t="str">
        <f t="shared" si="29"/>
        <v>女</v>
      </c>
      <c r="E360" s="2" t="str">
        <f>"341621199401073724"</f>
        <v>341621199401073724</v>
      </c>
      <c r="F360" s="3" t="str">
        <f t="shared" si="30"/>
        <v>护理</v>
      </c>
      <c r="G360" s="2" t="str">
        <f>"2018012627"</f>
        <v>2018012627</v>
      </c>
      <c r="H360" s="2">
        <v>42</v>
      </c>
      <c r="I360" s="2">
        <v>97</v>
      </c>
      <c r="J360" s="2">
        <f t="shared" si="28"/>
        <v>80.499999999999986</v>
      </c>
      <c r="K360" s="2"/>
      <c r="L360" s="6">
        <v>26</v>
      </c>
      <c r="M360" s="6">
        <v>27</v>
      </c>
    </row>
    <row r="361" spans="1:13" ht="18.75" customHeight="1">
      <c r="A361" s="6" t="str">
        <f>"10522018022812580982573"</f>
        <v>10522018022812580982573</v>
      </c>
      <c r="B361" s="4">
        <v>359</v>
      </c>
      <c r="C361" s="1" t="s">
        <v>26</v>
      </c>
      <c r="D361" s="2" t="str">
        <f t="shared" si="29"/>
        <v>女</v>
      </c>
      <c r="E361" s="2" t="str">
        <f>"34162119940315312X"</f>
        <v>34162119940315312X</v>
      </c>
      <c r="F361" s="3" t="str">
        <f t="shared" si="30"/>
        <v>护理</v>
      </c>
      <c r="G361" s="2" t="str">
        <f>"2018013113"</f>
        <v>2018013113</v>
      </c>
      <c r="H361" s="2">
        <v>58</v>
      </c>
      <c r="I361" s="2">
        <v>90</v>
      </c>
      <c r="J361" s="2">
        <f t="shared" si="28"/>
        <v>80.399999999999991</v>
      </c>
      <c r="K361" s="2"/>
      <c r="L361" s="6">
        <v>31</v>
      </c>
      <c r="M361" s="6">
        <v>13</v>
      </c>
    </row>
    <row r="362" spans="1:13" ht="18.75" customHeight="1">
      <c r="A362" s="6" t="str">
        <f>"10522018022708275882129"</f>
        <v>10522018022708275882129</v>
      </c>
      <c r="B362" s="4">
        <v>360</v>
      </c>
      <c r="C362" s="1" t="s">
        <v>26</v>
      </c>
      <c r="D362" s="2" t="str">
        <f t="shared" si="29"/>
        <v>女</v>
      </c>
      <c r="E362" s="2" t="str">
        <f>"341623199507125222"</f>
        <v>341623199507125222</v>
      </c>
      <c r="F362" s="3" t="str">
        <f t="shared" si="30"/>
        <v>护理</v>
      </c>
      <c r="G362" s="2" t="str">
        <f>"2018012425"</f>
        <v>2018012425</v>
      </c>
      <c r="H362" s="2">
        <v>39</v>
      </c>
      <c r="I362" s="2">
        <v>98</v>
      </c>
      <c r="J362" s="2">
        <f t="shared" si="28"/>
        <v>80.3</v>
      </c>
      <c r="K362" s="2"/>
      <c r="L362" s="6">
        <v>24</v>
      </c>
      <c r="M362" s="6">
        <v>25</v>
      </c>
    </row>
    <row r="363" spans="1:13" ht="18.75" customHeight="1">
      <c r="A363" s="6" t="str">
        <f>"10522018030209040883079"</f>
        <v>10522018030209040883079</v>
      </c>
      <c r="B363" s="4">
        <v>361</v>
      </c>
      <c r="C363" s="1" t="s">
        <v>26</v>
      </c>
      <c r="D363" s="2" t="str">
        <f t="shared" si="29"/>
        <v>女</v>
      </c>
      <c r="E363" s="2" t="str">
        <f>"341223199408254326"</f>
        <v>341223199408254326</v>
      </c>
      <c r="F363" s="3" t="str">
        <f t="shared" si="30"/>
        <v>护理</v>
      </c>
      <c r="G363" s="2" t="str">
        <f>"2018012522"</f>
        <v>2018012522</v>
      </c>
      <c r="H363" s="2">
        <v>29.5</v>
      </c>
      <c r="I363" s="2">
        <v>102</v>
      </c>
      <c r="J363" s="2">
        <f t="shared" si="28"/>
        <v>80.249999999999986</v>
      </c>
      <c r="K363" s="2"/>
      <c r="L363" s="6">
        <v>25</v>
      </c>
      <c r="M363" s="6">
        <v>22</v>
      </c>
    </row>
    <row r="364" spans="1:13" ht="18.75" customHeight="1">
      <c r="A364" s="6" t="str">
        <f>"10522018030116344282958"</f>
        <v>10522018030116344282958</v>
      </c>
      <c r="B364" s="4">
        <v>362</v>
      </c>
      <c r="C364" s="1" t="s">
        <v>26</v>
      </c>
      <c r="D364" s="2" t="str">
        <f t="shared" si="29"/>
        <v>女</v>
      </c>
      <c r="E364" s="2" t="str">
        <f>"341223199304010028"</f>
        <v>341223199304010028</v>
      </c>
      <c r="F364" s="3" t="str">
        <f t="shared" si="30"/>
        <v>护理</v>
      </c>
      <c r="G364" s="2" t="str">
        <f>"2018012414"</f>
        <v>2018012414</v>
      </c>
      <c r="H364" s="2">
        <v>52.5</v>
      </c>
      <c r="I364" s="2">
        <v>92</v>
      </c>
      <c r="J364" s="2">
        <f t="shared" si="28"/>
        <v>80.149999999999991</v>
      </c>
      <c r="K364" s="2"/>
      <c r="L364" s="6">
        <v>24</v>
      </c>
      <c r="M364" s="6">
        <v>14</v>
      </c>
    </row>
    <row r="365" spans="1:13" ht="18.75" customHeight="1">
      <c r="A365" s="6" t="str">
        <f>"10522018022613213481836"</f>
        <v>10522018022613213481836</v>
      </c>
      <c r="B365" s="4">
        <v>363</v>
      </c>
      <c r="C365" s="1" t="s">
        <v>26</v>
      </c>
      <c r="D365" s="2" t="str">
        <f t="shared" si="29"/>
        <v>女</v>
      </c>
      <c r="E365" s="2" t="str">
        <f>"341281199606068448"</f>
        <v>341281199606068448</v>
      </c>
      <c r="F365" s="3" t="str">
        <f t="shared" si="30"/>
        <v>护理</v>
      </c>
      <c r="G365" s="2" t="str">
        <f>"2018013114"</f>
        <v>2018013114</v>
      </c>
      <c r="H365" s="2">
        <v>35.5</v>
      </c>
      <c r="I365" s="2">
        <v>99</v>
      </c>
      <c r="J365" s="2">
        <f t="shared" si="28"/>
        <v>79.95</v>
      </c>
      <c r="K365" s="2"/>
      <c r="L365" s="6">
        <v>31</v>
      </c>
      <c r="M365" s="6">
        <v>14</v>
      </c>
    </row>
    <row r="366" spans="1:13" ht="18.75" customHeight="1">
      <c r="A366" s="6" t="str">
        <f>"10522018022613223981839"</f>
        <v>10522018022613223981839</v>
      </c>
      <c r="B366" s="4">
        <v>364</v>
      </c>
      <c r="C366" s="1" t="s">
        <v>26</v>
      </c>
      <c r="D366" s="2" t="str">
        <f t="shared" si="29"/>
        <v>女</v>
      </c>
      <c r="E366" s="2" t="str">
        <f>"341227199504128720"</f>
        <v>341227199504128720</v>
      </c>
      <c r="F366" s="3" t="str">
        <f t="shared" si="30"/>
        <v>护理</v>
      </c>
      <c r="G366" s="2" t="str">
        <f>"2018012525"</f>
        <v>2018012525</v>
      </c>
      <c r="H366" s="2">
        <v>40</v>
      </c>
      <c r="I366" s="2">
        <v>97</v>
      </c>
      <c r="J366" s="2">
        <f t="shared" si="28"/>
        <v>79.899999999999991</v>
      </c>
      <c r="K366" s="2"/>
      <c r="L366" s="6">
        <v>25</v>
      </c>
      <c r="M366" s="6">
        <v>25</v>
      </c>
    </row>
    <row r="367" spans="1:13" ht="18.75" customHeight="1">
      <c r="A367" s="6" t="str">
        <f>"10522018022822235882762"</f>
        <v>10522018022822235882762</v>
      </c>
      <c r="B367" s="4">
        <v>365</v>
      </c>
      <c r="C367" s="1" t="s">
        <v>26</v>
      </c>
      <c r="D367" s="2" t="str">
        <f t="shared" si="29"/>
        <v>女</v>
      </c>
      <c r="E367" s="2" t="str">
        <f>"341621199602062327"</f>
        <v>341621199602062327</v>
      </c>
      <c r="F367" s="3" t="str">
        <f t="shared" si="30"/>
        <v>护理</v>
      </c>
      <c r="G367" s="2" t="str">
        <f>"2018012801"</f>
        <v>2018012801</v>
      </c>
      <c r="H367" s="2">
        <v>54</v>
      </c>
      <c r="I367" s="2">
        <v>91</v>
      </c>
      <c r="J367" s="2">
        <f t="shared" si="28"/>
        <v>79.899999999999991</v>
      </c>
      <c r="K367" s="2"/>
      <c r="L367" s="6">
        <v>28</v>
      </c>
      <c r="M367" s="6">
        <v>1</v>
      </c>
    </row>
    <row r="368" spans="1:13" ht="18.75" customHeight="1">
      <c r="A368" s="6" t="str">
        <f>"10522018022708495982135"</f>
        <v>10522018022708495982135</v>
      </c>
      <c r="B368" s="4">
        <v>366</v>
      </c>
      <c r="C368" s="1" t="s">
        <v>26</v>
      </c>
      <c r="D368" s="2" t="str">
        <f t="shared" si="29"/>
        <v>女</v>
      </c>
      <c r="E368" s="2" t="str">
        <f>"341223199406080924"</f>
        <v>341223199406080924</v>
      </c>
      <c r="F368" s="3" t="str">
        <f t="shared" si="30"/>
        <v>护理</v>
      </c>
      <c r="G368" s="2" t="str">
        <f>"2018012415"</f>
        <v>2018012415</v>
      </c>
      <c r="H368" s="2">
        <v>58</v>
      </c>
      <c r="I368" s="2">
        <v>89</v>
      </c>
      <c r="J368" s="2">
        <f t="shared" si="28"/>
        <v>79.699999999999989</v>
      </c>
      <c r="K368" s="2"/>
      <c r="L368" s="6">
        <v>24</v>
      </c>
      <c r="M368" s="6">
        <v>15</v>
      </c>
    </row>
    <row r="369" spans="1:13" ht="18.75" customHeight="1">
      <c r="A369" s="6" t="str">
        <f>"10522018030119553783009"</f>
        <v>10522018030119553783009</v>
      </c>
      <c r="B369" s="4">
        <v>367</v>
      </c>
      <c r="C369" s="1" t="s">
        <v>26</v>
      </c>
      <c r="D369" s="2" t="str">
        <f t="shared" si="29"/>
        <v>女</v>
      </c>
      <c r="E369" s="2" t="str">
        <f>"341223199307210324"</f>
        <v>341223199307210324</v>
      </c>
      <c r="F369" s="3" t="str">
        <f t="shared" si="30"/>
        <v>护理</v>
      </c>
      <c r="G369" s="2" t="str">
        <f>"2018013126"</f>
        <v>2018013126</v>
      </c>
      <c r="H369" s="2">
        <v>36.5</v>
      </c>
      <c r="I369" s="2">
        <v>98</v>
      </c>
      <c r="J369" s="2">
        <f t="shared" si="28"/>
        <v>79.55</v>
      </c>
      <c r="K369" s="2"/>
      <c r="L369" s="6">
        <v>31</v>
      </c>
      <c r="M369" s="6">
        <v>26</v>
      </c>
    </row>
    <row r="370" spans="1:13" ht="18.75" customHeight="1">
      <c r="A370" s="6" t="str">
        <f>"10522018022613460581856"</f>
        <v>10522018022613460581856</v>
      </c>
      <c r="B370" s="4">
        <v>368</v>
      </c>
      <c r="C370" s="1" t="s">
        <v>26</v>
      </c>
      <c r="D370" s="2" t="str">
        <f t="shared" si="29"/>
        <v>女</v>
      </c>
      <c r="E370" s="2" t="str">
        <f>"340603199503250222"</f>
        <v>340603199503250222</v>
      </c>
      <c r="F370" s="3" t="str">
        <f t="shared" si="30"/>
        <v>护理</v>
      </c>
      <c r="G370" s="2" t="str">
        <f>"2018012606"</f>
        <v>2018012606</v>
      </c>
      <c r="H370" s="2">
        <v>55</v>
      </c>
      <c r="I370" s="2">
        <v>90</v>
      </c>
      <c r="J370" s="2">
        <f t="shared" si="28"/>
        <v>79.5</v>
      </c>
      <c r="K370" s="2"/>
      <c r="L370" s="6">
        <v>26</v>
      </c>
      <c r="M370" s="6">
        <v>6</v>
      </c>
    </row>
    <row r="371" spans="1:13" ht="18.75" customHeight="1">
      <c r="A371" s="6" t="str">
        <f>"10522018022609424981625"</f>
        <v>10522018022609424981625</v>
      </c>
      <c r="B371" s="4">
        <v>369</v>
      </c>
      <c r="C371" s="1" t="s">
        <v>26</v>
      </c>
      <c r="D371" s="2" t="str">
        <f t="shared" si="29"/>
        <v>女</v>
      </c>
      <c r="E371" s="2" t="str">
        <f>"341223199310021567"</f>
        <v>341223199310021567</v>
      </c>
      <c r="F371" s="3" t="str">
        <f t="shared" si="30"/>
        <v>护理</v>
      </c>
      <c r="G371" s="2" t="str">
        <f>"2018012508"</f>
        <v>2018012508</v>
      </c>
      <c r="H371" s="2">
        <v>50</v>
      </c>
      <c r="I371" s="2">
        <v>92</v>
      </c>
      <c r="J371" s="2">
        <f t="shared" si="28"/>
        <v>79.399999999999991</v>
      </c>
      <c r="K371" s="2"/>
      <c r="L371" s="6">
        <v>25</v>
      </c>
      <c r="M371" s="6">
        <v>8</v>
      </c>
    </row>
    <row r="372" spans="1:13" ht="18.75" customHeight="1">
      <c r="A372" s="6" t="str">
        <f>"10522018022813015682577"</f>
        <v>10522018022813015682577</v>
      </c>
      <c r="B372" s="4">
        <v>370</v>
      </c>
      <c r="C372" s="1" t="s">
        <v>26</v>
      </c>
      <c r="D372" s="2" t="str">
        <f t="shared" si="29"/>
        <v>女</v>
      </c>
      <c r="E372" s="2" t="str">
        <f>"341227199501210024"</f>
        <v>341227199501210024</v>
      </c>
      <c r="F372" s="3" t="str">
        <f t="shared" si="30"/>
        <v>护理</v>
      </c>
      <c r="G372" s="2" t="str">
        <f>"2018012613"</f>
        <v>2018012613</v>
      </c>
      <c r="H372" s="2">
        <v>33.5</v>
      </c>
      <c r="I372" s="2">
        <v>99</v>
      </c>
      <c r="J372" s="2">
        <f t="shared" si="28"/>
        <v>79.349999999999994</v>
      </c>
      <c r="K372" s="2"/>
      <c r="L372" s="6">
        <v>26</v>
      </c>
      <c r="M372" s="6">
        <v>13</v>
      </c>
    </row>
    <row r="373" spans="1:13" ht="18.75" customHeight="1">
      <c r="A373" s="6" t="str">
        <f>"10522018030208444483072"</f>
        <v>10522018030208444483072</v>
      </c>
      <c r="B373" s="4">
        <v>371</v>
      </c>
      <c r="C373" s="1" t="s">
        <v>26</v>
      </c>
      <c r="D373" s="2" t="str">
        <f t="shared" si="29"/>
        <v>女</v>
      </c>
      <c r="E373" s="2" t="str">
        <f>"341621199305100323"</f>
        <v>341621199305100323</v>
      </c>
      <c r="F373" s="3" t="str">
        <f t="shared" si="30"/>
        <v>护理</v>
      </c>
      <c r="G373" s="2" t="str">
        <f>"2018013115"</f>
        <v>2018013115</v>
      </c>
      <c r="H373" s="2">
        <v>37.5</v>
      </c>
      <c r="I373" s="2">
        <v>97</v>
      </c>
      <c r="J373" s="2">
        <f t="shared" si="28"/>
        <v>79.149999999999991</v>
      </c>
      <c r="K373" s="2"/>
      <c r="L373" s="6">
        <v>31</v>
      </c>
      <c r="M373" s="6">
        <v>15</v>
      </c>
    </row>
    <row r="374" spans="1:13" ht="18.75" customHeight="1">
      <c r="A374" s="6" t="str">
        <f>"10522018022620201582052"</f>
        <v>10522018022620201582052</v>
      </c>
      <c r="B374" s="4">
        <v>372</v>
      </c>
      <c r="C374" s="1" t="s">
        <v>26</v>
      </c>
      <c r="D374" s="2" t="str">
        <f t="shared" si="29"/>
        <v>女</v>
      </c>
      <c r="E374" s="2" t="str">
        <f>"34122619960918102X"</f>
        <v>34122619960918102X</v>
      </c>
      <c r="F374" s="3" t="str">
        <f t="shared" si="30"/>
        <v>护理</v>
      </c>
      <c r="G374" s="2" t="str">
        <f>"2018012714"</f>
        <v>2018012714</v>
      </c>
      <c r="H374" s="2">
        <v>42</v>
      </c>
      <c r="I374" s="2">
        <v>95</v>
      </c>
      <c r="J374" s="2">
        <f t="shared" si="28"/>
        <v>79.099999999999994</v>
      </c>
      <c r="K374" s="2"/>
      <c r="L374" s="6">
        <v>27</v>
      </c>
      <c r="M374" s="6">
        <v>14</v>
      </c>
    </row>
    <row r="375" spans="1:13" ht="18.75" customHeight="1">
      <c r="A375" s="6" t="str">
        <f>"10522018030120405383020"</f>
        <v>10522018030120405383020</v>
      </c>
      <c r="B375" s="4">
        <v>373</v>
      </c>
      <c r="C375" s="1" t="s">
        <v>26</v>
      </c>
      <c r="D375" s="2" t="str">
        <f t="shared" si="29"/>
        <v>女</v>
      </c>
      <c r="E375" s="2" t="str">
        <f>"341223199402141726"</f>
        <v>341223199402141726</v>
      </c>
      <c r="F375" s="3" t="str">
        <f t="shared" si="30"/>
        <v>护理</v>
      </c>
      <c r="G375" s="2" t="str">
        <f>"2018012820"</f>
        <v>2018012820</v>
      </c>
      <c r="H375" s="2">
        <v>58</v>
      </c>
      <c r="I375" s="2">
        <v>88</v>
      </c>
      <c r="J375" s="2">
        <f t="shared" si="28"/>
        <v>79</v>
      </c>
      <c r="K375" s="2"/>
      <c r="L375" s="6">
        <v>28</v>
      </c>
      <c r="M375" s="6">
        <v>20</v>
      </c>
    </row>
    <row r="376" spans="1:13" ht="18.75" customHeight="1">
      <c r="A376" s="6" t="str">
        <f>"10522018022715333882284"</f>
        <v>10522018022715333882284</v>
      </c>
      <c r="B376" s="4">
        <v>374</v>
      </c>
      <c r="C376" s="1" t="s">
        <v>26</v>
      </c>
      <c r="D376" s="2" t="str">
        <f t="shared" si="29"/>
        <v>女</v>
      </c>
      <c r="E376" s="2" t="str">
        <f>"341227199612159524"</f>
        <v>341227199612159524</v>
      </c>
      <c r="F376" s="3" t="str">
        <f t="shared" si="30"/>
        <v>护理</v>
      </c>
      <c r="G376" s="2" t="str">
        <f>"2018013021"</f>
        <v>2018013021</v>
      </c>
      <c r="H376" s="2">
        <v>35.5</v>
      </c>
      <c r="I376" s="2">
        <v>97</v>
      </c>
      <c r="J376" s="2">
        <f t="shared" si="28"/>
        <v>78.55</v>
      </c>
      <c r="K376" s="2"/>
      <c r="L376" s="6">
        <v>30</v>
      </c>
      <c r="M376" s="6">
        <v>21</v>
      </c>
    </row>
    <row r="377" spans="1:13" ht="18.75" customHeight="1">
      <c r="A377" s="6" t="str">
        <f>"10522018022715103082274"</f>
        <v>10522018022715103082274</v>
      </c>
      <c r="B377" s="4">
        <v>375</v>
      </c>
      <c r="C377" s="1" t="s">
        <v>26</v>
      </c>
      <c r="D377" s="2" t="str">
        <f t="shared" si="29"/>
        <v>女</v>
      </c>
      <c r="E377" s="2" t="str">
        <f>"341623199604262640"</f>
        <v>341623199604262640</v>
      </c>
      <c r="F377" s="3" t="str">
        <f t="shared" si="30"/>
        <v>护理</v>
      </c>
      <c r="G377" s="2" t="str">
        <f>"2018012610"</f>
        <v>2018012610</v>
      </c>
      <c r="H377" s="2">
        <v>46.5</v>
      </c>
      <c r="I377" s="2">
        <v>92</v>
      </c>
      <c r="J377" s="2">
        <f t="shared" si="28"/>
        <v>78.349999999999994</v>
      </c>
      <c r="K377" s="2"/>
      <c r="L377" s="6">
        <v>26</v>
      </c>
      <c r="M377" s="6">
        <v>10</v>
      </c>
    </row>
    <row r="378" spans="1:13" ht="18.75" customHeight="1">
      <c r="A378" s="6" t="str">
        <f>"10522018030123020183050"</f>
        <v>10522018030123020183050</v>
      </c>
      <c r="B378" s="4">
        <v>376</v>
      </c>
      <c r="C378" s="1" t="s">
        <v>26</v>
      </c>
      <c r="D378" s="2" t="str">
        <f t="shared" si="29"/>
        <v>女</v>
      </c>
      <c r="E378" s="2" t="str">
        <f>"341623199303032622"</f>
        <v>341623199303032622</v>
      </c>
      <c r="F378" s="3" t="str">
        <f t="shared" si="30"/>
        <v>护理</v>
      </c>
      <c r="G378" s="2" t="str">
        <f>"2018012614"</f>
        <v>2018012614</v>
      </c>
      <c r="H378" s="2">
        <v>50.5</v>
      </c>
      <c r="I378" s="2">
        <v>90</v>
      </c>
      <c r="J378" s="2">
        <f t="shared" si="28"/>
        <v>78.149999999999991</v>
      </c>
      <c r="K378" s="2"/>
      <c r="L378" s="6">
        <v>26</v>
      </c>
      <c r="M378" s="6">
        <v>14</v>
      </c>
    </row>
    <row r="379" spans="1:13" ht="18.75" customHeight="1">
      <c r="A379" s="6" t="str">
        <f>"10522018030116085482947"</f>
        <v>10522018030116085482947</v>
      </c>
      <c r="B379" s="4">
        <v>377</v>
      </c>
      <c r="C379" s="1" t="s">
        <v>26</v>
      </c>
      <c r="D379" s="2" t="str">
        <f t="shared" si="29"/>
        <v>女</v>
      </c>
      <c r="E379" s="2" t="str">
        <f>"341621199303121921"</f>
        <v>341621199303121921</v>
      </c>
      <c r="F379" s="3" t="str">
        <f t="shared" si="30"/>
        <v>护理</v>
      </c>
      <c r="G379" s="2" t="str">
        <f>"2018013006"</f>
        <v>2018013006</v>
      </c>
      <c r="H379" s="2">
        <v>33.5</v>
      </c>
      <c r="I379" s="2">
        <v>97</v>
      </c>
      <c r="J379" s="2">
        <f t="shared" si="28"/>
        <v>77.949999999999989</v>
      </c>
      <c r="K379" s="2"/>
      <c r="L379" s="6">
        <v>30</v>
      </c>
      <c r="M379" s="6">
        <v>6</v>
      </c>
    </row>
    <row r="380" spans="1:13" ht="18.75" customHeight="1">
      <c r="A380" s="6" t="str">
        <f>"10522018022712164082214"</f>
        <v>10522018022712164082214</v>
      </c>
      <c r="B380" s="4">
        <v>378</v>
      </c>
      <c r="C380" s="1" t="s">
        <v>26</v>
      </c>
      <c r="D380" s="2" t="str">
        <f t="shared" si="29"/>
        <v>女</v>
      </c>
      <c r="E380" s="2" t="str">
        <f>"341223199612161928"</f>
        <v>341223199612161928</v>
      </c>
      <c r="F380" s="3" t="str">
        <f t="shared" si="30"/>
        <v>护理</v>
      </c>
      <c r="G380" s="2" t="str">
        <f>"2018013204"</f>
        <v>2018013204</v>
      </c>
      <c r="H380" s="2">
        <v>33.5</v>
      </c>
      <c r="I380" s="2">
        <v>97</v>
      </c>
      <c r="J380" s="2">
        <f t="shared" si="28"/>
        <v>77.949999999999989</v>
      </c>
      <c r="K380" s="2"/>
      <c r="L380" s="6">
        <v>32</v>
      </c>
      <c r="M380" s="6">
        <v>4</v>
      </c>
    </row>
    <row r="381" spans="1:13" ht="18.75" customHeight="1">
      <c r="A381" s="6" t="str">
        <f>"10522018022609170581596"</f>
        <v>10522018022609170581596</v>
      </c>
      <c r="B381" s="4">
        <v>379</v>
      </c>
      <c r="C381" s="1" t="s">
        <v>26</v>
      </c>
      <c r="D381" s="2" t="str">
        <f t="shared" ref="D381:D412" si="31">"女"</f>
        <v>女</v>
      </c>
      <c r="E381" s="2" t="str">
        <f>"341621199307070922"</f>
        <v>341621199307070922</v>
      </c>
      <c r="F381" s="3" t="str">
        <f t="shared" ref="F381:F412" si="32">"护理"</f>
        <v>护理</v>
      </c>
      <c r="G381" s="2" t="str">
        <f>"2018012803"</f>
        <v>2018012803</v>
      </c>
      <c r="H381" s="2">
        <v>42.5</v>
      </c>
      <c r="I381" s="2">
        <v>93</v>
      </c>
      <c r="J381" s="2">
        <f t="shared" si="28"/>
        <v>77.849999999999994</v>
      </c>
      <c r="K381" s="2"/>
      <c r="L381" s="6">
        <v>28</v>
      </c>
      <c r="M381" s="6">
        <v>3</v>
      </c>
    </row>
    <row r="382" spans="1:13" ht="18.75" customHeight="1">
      <c r="A382" s="6" t="str">
        <f>"10522018022819362582714"</f>
        <v>10522018022819362582714</v>
      </c>
      <c r="B382" s="4">
        <v>380</v>
      </c>
      <c r="C382" s="1" t="s">
        <v>26</v>
      </c>
      <c r="D382" s="2" t="str">
        <f t="shared" si="31"/>
        <v>女</v>
      </c>
      <c r="E382" s="2" t="str">
        <f>"341227199505124027"</f>
        <v>341227199505124027</v>
      </c>
      <c r="F382" s="3" t="str">
        <f t="shared" si="32"/>
        <v>护理</v>
      </c>
      <c r="G382" s="2" t="str">
        <f>"2018012512"</f>
        <v>2018012512</v>
      </c>
      <c r="H382" s="2">
        <v>42</v>
      </c>
      <c r="I382" s="2">
        <v>93</v>
      </c>
      <c r="J382" s="2">
        <f t="shared" si="28"/>
        <v>77.699999999999989</v>
      </c>
      <c r="K382" s="2"/>
      <c r="L382" s="6">
        <v>25</v>
      </c>
      <c r="M382" s="6">
        <v>12</v>
      </c>
    </row>
    <row r="383" spans="1:13" ht="18.75" customHeight="1">
      <c r="A383" s="6" t="str">
        <f>"10522018022614460781893"</f>
        <v>10522018022614460781893</v>
      </c>
      <c r="B383" s="4">
        <v>381</v>
      </c>
      <c r="C383" s="1" t="s">
        <v>26</v>
      </c>
      <c r="D383" s="2" t="str">
        <f t="shared" si="31"/>
        <v>女</v>
      </c>
      <c r="E383" s="2" t="str">
        <f>"340621199502203662"</f>
        <v>340621199502203662</v>
      </c>
      <c r="F383" s="3" t="str">
        <f t="shared" si="32"/>
        <v>护理</v>
      </c>
      <c r="G383" s="2" t="str">
        <f>"2018013222"</f>
        <v>2018013222</v>
      </c>
      <c r="H383" s="2">
        <v>49</v>
      </c>
      <c r="I383" s="2">
        <v>90</v>
      </c>
      <c r="J383" s="2">
        <f t="shared" si="28"/>
        <v>77.699999999999989</v>
      </c>
      <c r="K383" s="2"/>
      <c r="L383" s="6">
        <v>32</v>
      </c>
      <c r="M383" s="6">
        <v>22</v>
      </c>
    </row>
    <row r="384" spans="1:13" ht="18.75" customHeight="1">
      <c r="A384" s="6" t="str">
        <f>"10522018022720005282384"</f>
        <v>10522018022720005282384</v>
      </c>
      <c r="B384" s="4">
        <v>382</v>
      </c>
      <c r="C384" s="1" t="s">
        <v>26</v>
      </c>
      <c r="D384" s="2" t="str">
        <f t="shared" si="31"/>
        <v>女</v>
      </c>
      <c r="E384" s="2" t="str">
        <f>"340621199412017065"</f>
        <v>340621199412017065</v>
      </c>
      <c r="F384" s="3" t="str">
        <f t="shared" si="32"/>
        <v>护理</v>
      </c>
      <c r="G384" s="2" t="str">
        <f>"2018012817"</f>
        <v>2018012817</v>
      </c>
      <c r="H384" s="2">
        <v>39.5</v>
      </c>
      <c r="I384" s="2">
        <v>94</v>
      </c>
      <c r="J384" s="2">
        <f t="shared" si="28"/>
        <v>77.649999999999991</v>
      </c>
      <c r="K384" s="2"/>
      <c r="L384" s="6">
        <v>28</v>
      </c>
      <c r="M384" s="6">
        <v>17</v>
      </c>
    </row>
    <row r="385" spans="1:13" ht="18.75" customHeight="1">
      <c r="A385" s="6" t="str">
        <f>"10522018030207363283065"</f>
        <v>10522018030207363283065</v>
      </c>
      <c r="B385" s="4">
        <v>383</v>
      </c>
      <c r="C385" s="1" t="s">
        <v>26</v>
      </c>
      <c r="D385" s="2" t="str">
        <f t="shared" si="31"/>
        <v>女</v>
      </c>
      <c r="E385" s="2" t="str">
        <f>"340621199504207309"</f>
        <v>340621199504207309</v>
      </c>
      <c r="F385" s="3" t="str">
        <f t="shared" si="32"/>
        <v>护理</v>
      </c>
      <c r="G385" s="2" t="str">
        <f>"2018012422"</f>
        <v>2018012422</v>
      </c>
      <c r="H385" s="2">
        <v>37</v>
      </c>
      <c r="I385" s="2">
        <v>95</v>
      </c>
      <c r="J385" s="2">
        <f t="shared" si="28"/>
        <v>77.599999999999994</v>
      </c>
      <c r="K385" s="2"/>
      <c r="L385" s="6">
        <v>24</v>
      </c>
      <c r="M385" s="6">
        <v>22</v>
      </c>
    </row>
    <row r="386" spans="1:13" ht="18.75" customHeight="1">
      <c r="A386" s="6" t="str">
        <f>"10522018022717050082311"</f>
        <v>10522018022717050082311</v>
      </c>
      <c r="B386" s="4">
        <v>384</v>
      </c>
      <c r="C386" s="1" t="s">
        <v>26</v>
      </c>
      <c r="D386" s="2" t="str">
        <f t="shared" si="31"/>
        <v>女</v>
      </c>
      <c r="E386" s="2" t="str">
        <f>"340604199406162227"</f>
        <v>340604199406162227</v>
      </c>
      <c r="F386" s="3" t="str">
        <f t="shared" si="32"/>
        <v>护理</v>
      </c>
      <c r="G386" s="2" t="str">
        <f>"2018012630"</f>
        <v>2018012630</v>
      </c>
      <c r="H386" s="2">
        <v>37</v>
      </c>
      <c r="I386" s="2">
        <v>95</v>
      </c>
      <c r="J386" s="2">
        <f t="shared" si="28"/>
        <v>77.599999999999994</v>
      </c>
      <c r="K386" s="2"/>
      <c r="L386" s="6">
        <v>26</v>
      </c>
      <c r="M386" s="6">
        <v>30</v>
      </c>
    </row>
    <row r="387" spans="1:13" ht="18.75" customHeight="1">
      <c r="A387" s="6" t="str">
        <f>"10522018022612375981799"</f>
        <v>10522018022612375981799</v>
      </c>
      <c r="B387" s="4">
        <v>385</v>
      </c>
      <c r="C387" s="1" t="s">
        <v>26</v>
      </c>
      <c r="D387" s="2" t="str">
        <f t="shared" si="31"/>
        <v>女</v>
      </c>
      <c r="E387" s="2" t="str">
        <f>"341227199405070228"</f>
        <v>341227199405070228</v>
      </c>
      <c r="F387" s="3" t="str">
        <f t="shared" si="32"/>
        <v>护理</v>
      </c>
      <c r="G387" s="2" t="str">
        <f>"2018012401"</f>
        <v>2018012401</v>
      </c>
      <c r="H387" s="2">
        <v>34.5</v>
      </c>
      <c r="I387" s="2">
        <v>96</v>
      </c>
      <c r="J387" s="2">
        <f t="shared" ref="J387:J450" si="33">H387*0.3+I387*0.7</f>
        <v>77.549999999999983</v>
      </c>
      <c r="K387" s="2"/>
      <c r="L387" s="6">
        <v>24</v>
      </c>
      <c r="M387" s="6">
        <v>1</v>
      </c>
    </row>
    <row r="388" spans="1:13" ht="18.75" customHeight="1">
      <c r="A388" s="6" t="str">
        <f>"10522018022610205681668"</f>
        <v>10522018022610205681668</v>
      </c>
      <c r="B388" s="4">
        <v>386</v>
      </c>
      <c r="C388" s="1" t="s">
        <v>26</v>
      </c>
      <c r="D388" s="2" t="str">
        <f t="shared" si="31"/>
        <v>女</v>
      </c>
      <c r="E388" s="2" t="str">
        <f>"341224199604199906"</f>
        <v>341224199604199906</v>
      </c>
      <c r="F388" s="3" t="str">
        <f t="shared" si="32"/>
        <v>护理</v>
      </c>
      <c r="G388" s="2" t="str">
        <f>"2018012626"</f>
        <v>2018012626</v>
      </c>
      <c r="H388" s="2">
        <v>39</v>
      </c>
      <c r="I388" s="2">
        <v>94</v>
      </c>
      <c r="J388" s="2">
        <f t="shared" si="33"/>
        <v>77.5</v>
      </c>
      <c r="K388" s="2"/>
      <c r="L388" s="6">
        <v>26</v>
      </c>
      <c r="M388" s="6">
        <v>26</v>
      </c>
    </row>
    <row r="389" spans="1:13" ht="18.75" customHeight="1">
      <c r="A389" s="6" t="str">
        <f>"10522018030213142383140"</f>
        <v>10522018030213142383140</v>
      </c>
      <c r="B389" s="4">
        <v>387</v>
      </c>
      <c r="C389" s="1" t="s">
        <v>26</v>
      </c>
      <c r="D389" s="2" t="str">
        <f t="shared" si="31"/>
        <v>女</v>
      </c>
      <c r="E389" s="2" t="str">
        <f>"341202199701070022"</f>
        <v>341202199701070022</v>
      </c>
      <c r="F389" s="3" t="str">
        <f t="shared" si="32"/>
        <v>护理</v>
      </c>
      <c r="G389" s="2" t="str">
        <f>"2018012421"</f>
        <v>2018012421</v>
      </c>
      <c r="H389" s="2">
        <v>38.5</v>
      </c>
      <c r="I389" s="2">
        <v>94</v>
      </c>
      <c r="J389" s="2">
        <f t="shared" si="33"/>
        <v>77.349999999999994</v>
      </c>
      <c r="K389" s="2"/>
      <c r="L389" s="6">
        <v>24</v>
      </c>
      <c r="M389" s="6">
        <v>21</v>
      </c>
    </row>
    <row r="390" spans="1:13" ht="18.75" customHeight="1">
      <c r="A390" s="6" t="str">
        <f>"10522018022717385982318"</f>
        <v>10522018022717385982318</v>
      </c>
      <c r="B390" s="4">
        <v>388</v>
      </c>
      <c r="C390" s="1" t="s">
        <v>26</v>
      </c>
      <c r="D390" s="2" t="str">
        <f t="shared" si="31"/>
        <v>女</v>
      </c>
      <c r="E390" s="2" t="str">
        <f>"362202199310242581"</f>
        <v>362202199310242581</v>
      </c>
      <c r="F390" s="3" t="str">
        <f t="shared" si="32"/>
        <v>护理</v>
      </c>
      <c r="G390" s="2" t="str">
        <f>"2018013003"</f>
        <v>2018013003</v>
      </c>
      <c r="H390" s="2">
        <v>43</v>
      </c>
      <c r="I390" s="2">
        <v>92</v>
      </c>
      <c r="J390" s="2">
        <f t="shared" si="33"/>
        <v>77.3</v>
      </c>
      <c r="K390" s="2"/>
      <c r="L390" s="6">
        <v>30</v>
      </c>
      <c r="M390" s="6">
        <v>3</v>
      </c>
    </row>
    <row r="391" spans="1:13" ht="18.75" customHeight="1">
      <c r="A391" s="6" t="str">
        <f>"10522018022621422282093"</f>
        <v>10522018022621422282093</v>
      </c>
      <c r="B391" s="4">
        <v>389</v>
      </c>
      <c r="C391" s="1" t="s">
        <v>26</v>
      </c>
      <c r="D391" s="2" t="str">
        <f t="shared" si="31"/>
        <v>女</v>
      </c>
      <c r="E391" s="2" t="str">
        <f>"341225199301078521"</f>
        <v>341225199301078521</v>
      </c>
      <c r="F391" s="3" t="str">
        <f t="shared" si="32"/>
        <v>护理</v>
      </c>
      <c r="G391" s="2" t="str">
        <f>"2018012707"</f>
        <v>2018012707</v>
      </c>
      <c r="H391" s="2">
        <v>45</v>
      </c>
      <c r="I391" s="2">
        <v>91</v>
      </c>
      <c r="J391" s="2">
        <f t="shared" si="33"/>
        <v>77.199999999999989</v>
      </c>
      <c r="K391" s="2"/>
      <c r="L391" s="6">
        <v>27</v>
      </c>
      <c r="M391" s="6">
        <v>7</v>
      </c>
    </row>
    <row r="392" spans="1:13" ht="18.75" customHeight="1">
      <c r="A392" s="6" t="str">
        <f>"10522018022814172682612"</f>
        <v>10522018022814172682612</v>
      </c>
      <c r="B392" s="4">
        <v>390</v>
      </c>
      <c r="C392" s="1" t="s">
        <v>26</v>
      </c>
      <c r="D392" s="2" t="str">
        <f t="shared" si="31"/>
        <v>女</v>
      </c>
      <c r="E392" s="2" t="str">
        <f>"341223199710150026"</f>
        <v>341223199710150026</v>
      </c>
      <c r="F392" s="3" t="str">
        <f t="shared" si="32"/>
        <v>护理</v>
      </c>
      <c r="G392" s="2" t="str">
        <f>"2018013224"</f>
        <v>2018013224</v>
      </c>
      <c r="H392" s="2">
        <v>42</v>
      </c>
      <c r="I392" s="2">
        <v>92</v>
      </c>
      <c r="J392" s="2">
        <f t="shared" si="33"/>
        <v>76.999999999999986</v>
      </c>
      <c r="K392" s="2"/>
      <c r="L392" s="6">
        <v>32</v>
      </c>
      <c r="M392" s="6">
        <v>24</v>
      </c>
    </row>
    <row r="393" spans="1:13" ht="18.75" customHeight="1">
      <c r="A393" s="6" t="str">
        <f>"10522018022814504482621"</f>
        <v>10522018022814504482621</v>
      </c>
      <c r="B393" s="4">
        <v>391</v>
      </c>
      <c r="C393" s="1" t="s">
        <v>26</v>
      </c>
      <c r="D393" s="2" t="str">
        <f t="shared" si="31"/>
        <v>女</v>
      </c>
      <c r="E393" s="2" t="str">
        <f>"341223199510301723"</f>
        <v>341223199510301723</v>
      </c>
      <c r="F393" s="3" t="str">
        <f t="shared" si="32"/>
        <v>护理</v>
      </c>
      <c r="G393" s="2" t="str">
        <f>"2018012504"</f>
        <v>2018012504</v>
      </c>
      <c r="H393" s="2">
        <v>25.5</v>
      </c>
      <c r="I393" s="2">
        <v>99</v>
      </c>
      <c r="J393" s="2">
        <f t="shared" si="33"/>
        <v>76.95</v>
      </c>
      <c r="K393" s="2"/>
      <c r="L393" s="6">
        <v>25</v>
      </c>
      <c r="M393" s="6">
        <v>4</v>
      </c>
    </row>
    <row r="394" spans="1:13" ht="18.75" customHeight="1">
      <c r="A394" s="6" t="str">
        <f>"10522018022718462582335"</f>
        <v>10522018022718462582335</v>
      </c>
      <c r="B394" s="4">
        <v>392</v>
      </c>
      <c r="C394" s="1" t="s">
        <v>26</v>
      </c>
      <c r="D394" s="2" t="str">
        <f t="shared" si="31"/>
        <v>女</v>
      </c>
      <c r="E394" s="2" t="str">
        <f>"341223199502103348"</f>
        <v>341223199502103348</v>
      </c>
      <c r="F394" s="3" t="str">
        <f t="shared" si="32"/>
        <v>护理</v>
      </c>
      <c r="G394" s="2" t="str">
        <f>"2018012407"</f>
        <v>2018012407</v>
      </c>
      <c r="H394" s="2">
        <v>39.5</v>
      </c>
      <c r="I394" s="2">
        <v>93</v>
      </c>
      <c r="J394" s="2">
        <f t="shared" si="33"/>
        <v>76.949999999999989</v>
      </c>
      <c r="K394" s="2"/>
      <c r="L394" s="6">
        <v>24</v>
      </c>
      <c r="M394" s="6">
        <v>7</v>
      </c>
    </row>
    <row r="395" spans="1:13" ht="18.75" customHeight="1">
      <c r="A395" s="6" t="str">
        <f>"10522018022621492082097"</f>
        <v>10522018022621492082097</v>
      </c>
      <c r="B395" s="4">
        <v>393</v>
      </c>
      <c r="C395" s="1" t="s">
        <v>26</v>
      </c>
      <c r="D395" s="2" t="str">
        <f t="shared" si="31"/>
        <v>女</v>
      </c>
      <c r="E395" s="2" t="str">
        <f>"340621199604014088"</f>
        <v>340621199604014088</v>
      </c>
      <c r="F395" s="3" t="str">
        <f t="shared" si="32"/>
        <v>护理</v>
      </c>
      <c r="G395" s="2" t="str">
        <f>"2018012705"</f>
        <v>2018012705</v>
      </c>
      <c r="H395" s="2">
        <v>44</v>
      </c>
      <c r="I395" s="2">
        <v>91</v>
      </c>
      <c r="J395" s="2">
        <f t="shared" si="33"/>
        <v>76.899999999999991</v>
      </c>
      <c r="K395" s="2"/>
      <c r="L395" s="6">
        <v>27</v>
      </c>
      <c r="M395" s="6">
        <v>5</v>
      </c>
    </row>
    <row r="396" spans="1:13" ht="18.75" customHeight="1">
      <c r="A396" s="6" t="str">
        <f>"10522018022710283682176"</f>
        <v>10522018022710283682176</v>
      </c>
      <c r="B396" s="4">
        <v>394</v>
      </c>
      <c r="C396" s="1" t="s">
        <v>26</v>
      </c>
      <c r="D396" s="2" t="str">
        <f t="shared" si="31"/>
        <v>女</v>
      </c>
      <c r="E396" s="2" t="str">
        <f>"34162119930314172X"</f>
        <v>34162119930314172X</v>
      </c>
      <c r="F396" s="3" t="str">
        <f t="shared" si="32"/>
        <v>护理</v>
      </c>
      <c r="G396" s="2" t="str">
        <f>"2018012520"</f>
        <v>2018012520</v>
      </c>
      <c r="H396" s="2">
        <v>48.5</v>
      </c>
      <c r="I396" s="2">
        <v>89</v>
      </c>
      <c r="J396" s="2">
        <f t="shared" si="33"/>
        <v>76.849999999999994</v>
      </c>
      <c r="K396" s="2"/>
      <c r="L396" s="6">
        <v>25</v>
      </c>
      <c r="M396" s="6">
        <v>20</v>
      </c>
    </row>
    <row r="397" spans="1:13" ht="18.75" customHeight="1">
      <c r="A397" s="6" t="str">
        <f>"10522018022722030782436"</f>
        <v>10522018022722030782436</v>
      </c>
      <c r="B397" s="4">
        <v>395</v>
      </c>
      <c r="C397" s="1" t="s">
        <v>26</v>
      </c>
      <c r="D397" s="2" t="str">
        <f t="shared" si="31"/>
        <v>女</v>
      </c>
      <c r="E397" s="2" t="str">
        <f>"341623199609044829"</f>
        <v>341623199609044829</v>
      </c>
      <c r="F397" s="3" t="str">
        <f t="shared" si="32"/>
        <v>护理</v>
      </c>
      <c r="G397" s="2" t="str">
        <f>"2018013116"</f>
        <v>2018013116</v>
      </c>
      <c r="H397" s="2">
        <v>55.5</v>
      </c>
      <c r="I397" s="2">
        <v>86</v>
      </c>
      <c r="J397" s="2">
        <f t="shared" si="33"/>
        <v>76.849999999999994</v>
      </c>
      <c r="K397" s="2"/>
      <c r="L397" s="6">
        <v>31</v>
      </c>
      <c r="M397" s="6">
        <v>16</v>
      </c>
    </row>
    <row r="398" spans="1:13" ht="18.75" customHeight="1">
      <c r="A398" s="6" t="str">
        <f>"10522018030213411083146"</f>
        <v>10522018030213411083146</v>
      </c>
      <c r="B398" s="4">
        <v>396</v>
      </c>
      <c r="C398" s="1" t="s">
        <v>26</v>
      </c>
      <c r="D398" s="2" t="str">
        <f t="shared" si="31"/>
        <v>女</v>
      </c>
      <c r="E398" s="2" t="str">
        <f>"341227199708032624"</f>
        <v>341227199708032624</v>
      </c>
      <c r="F398" s="3" t="str">
        <f t="shared" si="32"/>
        <v>护理</v>
      </c>
      <c r="G398" s="2" t="str">
        <f>"2018012927"</f>
        <v>2018012927</v>
      </c>
      <c r="H398" s="2">
        <v>45</v>
      </c>
      <c r="I398" s="2">
        <v>90</v>
      </c>
      <c r="J398" s="2">
        <f t="shared" si="33"/>
        <v>76.5</v>
      </c>
      <c r="K398" s="2"/>
      <c r="L398" s="6">
        <v>29</v>
      </c>
      <c r="M398" s="6">
        <v>27</v>
      </c>
    </row>
    <row r="399" spans="1:13" ht="18.75" customHeight="1">
      <c r="A399" s="6" t="str">
        <f>"10522018022619180682028"</f>
        <v>10522018022619180682028</v>
      </c>
      <c r="B399" s="4">
        <v>397</v>
      </c>
      <c r="C399" s="1" t="s">
        <v>26</v>
      </c>
      <c r="D399" s="2" t="str">
        <f t="shared" si="31"/>
        <v>女</v>
      </c>
      <c r="E399" s="2" t="str">
        <f>"341227199508170045"</f>
        <v>341227199508170045</v>
      </c>
      <c r="F399" s="3" t="str">
        <f t="shared" si="32"/>
        <v>护理</v>
      </c>
      <c r="G399" s="2" t="str">
        <f>"2018013215"</f>
        <v>2018013215</v>
      </c>
      <c r="H399" s="2">
        <v>42.5</v>
      </c>
      <c r="I399" s="2">
        <v>91</v>
      </c>
      <c r="J399" s="2">
        <f t="shared" si="33"/>
        <v>76.449999999999989</v>
      </c>
      <c r="K399" s="2"/>
      <c r="L399" s="6">
        <v>32</v>
      </c>
      <c r="M399" s="6">
        <v>15</v>
      </c>
    </row>
    <row r="400" spans="1:13" ht="18.75" customHeight="1">
      <c r="A400" s="6" t="str">
        <f>"10522018030200350283058"</f>
        <v>10522018030200350283058</v>
      </c>
      <c r="B400" s="4">
        <v>398</v>
      </c>
      <c r="C400" s="1" t="s">
        <v>26</v>
      </c>
      <c r="D400" s="2" t="str">
        <f t="shared" si="31"/>
        <v>女</v>
      </c>
      <c r="E400" s="2" t="str">
        <f>"341204199801050443"</f>
        <v>341204199801050443</v>
      </c>
      <c r="F400" s="3" t="str">
        <f t="shared" si="32"/>
        <v>护理</v>
      </c>
      <c r="G400" s="2" t="str">
        <f>"2018012725"</f>
        <v>2018012725</v>
      </c>
      <c r="H400" s="2">
        <v>47</v>
      </c>
      <c r="I400" s="2">
        <v>89</v>
      </c>
      <c r="J400" s="2">
        <f t="shared" si="33"/>
        <v>76.399999999999991</v>
      </c>
      <c r="K400" s="2"/>
      <c r="L400" s="6">
        <v>27</v>
      </c>
      <c r="M400" s="6">
        <v>25</v>
      </c>
    </row>
    <row r="401" spans="1:13" ht="18.75" customHeight="1">
      <c r="A401" s="6" t="str">
        <f>"10522018022812104882558"</f>
        <v>10522018022812104882558</v>
      </c>
      <c r="B401" s="4">
        <v>399</v>
      </c>
      <c r="C401" s="1" t="s">
        <v>26</v>
      </c>
      <c r="D401" s="2" t="str">
        <f t="shared" si="31"/>
        <v>女</v>
      </c>
      <c r="E401" s="2" t="str">
        <f>"341621199506262724"</f>
        <v>341621199506262724</v>
      </c>
      <c r="F401" s="3" t="str">
        <f t="shared" si="32"/>
        <v>护理</v>
      </c>
      <c r="G401" s="2" t="str">
        <f>"2018012908"</f>
        <v>2018012908</v>
      </c>
      <c r="H401" s="2">
        <v>47</v>
      </c>
      <c r="I401" s="2">
        <v>89</v>
      </c>
      <c r="J401" s="2">
        <f t="shared" si="33"/>
        <v>76.399999999999991</v>
      </c>
      <c r="K401" s="2"/>
      <c r="L401" s="6">
        <v>29</v>
      </c>
      <c r="M401" s="6">
        <v>8</v>
      </c>
    </row>
    <row r="402" spans="1:13" ht="18.75" customHeight="1">
      <c r="A402" s="6" t="str">
        <f>"10522018022610404681695"</f>
        <v>10522018022610404681695</v>
      </c>
      <c r="B402" s="4">
        <v>400</v>
      </c>
      <c r="C402" s="1" t="s">
        <v>26</v>
      </c>
      <c r="D402" s="2" t="str">
        <f t="shared" si="31"/>
        <v>女</v>
      </c>
      <c r="E402" s="2" t="str">
        <f>"341221199401027048"</f>
        <v>341221199401027048</v>
      </c>
      <c r="F402" s="3" t="str">
        <f t="shared" si="32"/>
        <v>护理</v>
      </c>
      <c r="G402" s="2" t="str">
        <f>"2018013111"</f>
        <v>2018013111</v>
      </c>
      <c r="H402" s="2">
        <v>40</v>
      </c>
      <c r="I402" s="2">
        <v>92</v>
      </c>
      <c r="J402" s="2">
        <f t="shared" si="33"/>
        <v>76.399999999999991</v>
      </c>
      <c r="K402" s="2"/>
      <c r="L402" s="6">
        <v>31</v>
      </c>
      <c r="M402" s="6">
        <v>11</v>
      </c>
    </row>
    <row r="403" spans="1:13" ht="18.75" customHeight="1">
      <c r="A403" s="6" t="str">
        <f>"10522018030116110182948"</f>
        <v>10522018030116110182948</v>
      </c>
      <c r="B403" s="4">
        <v>401</v>
      </c>
      <c r="C403" s="1" t="s">
        <v>26</v>
      </c>
      <c r="D403" s="2" t="str">
        <f t="shared" si="31"/>
        <v>女</v>
      </c>
      <c r="E403" s="2" t="str">
        <f>"341221199710282106"</f>
        <v>341221199710282106</v>
      </c>
      <c r="F403" s="3" t="str">
        <f t="shared" si="32"/>
        <v>护理</v>
      </c>
      <c r="G403" s="2" t="str">
        <f>"2018013028"</f>
        <v>2018013028</v>
      </c>
      <c r="H403" s="2">
        <v>30.5</v>
      </c>
      <c r="I403" s="2">
        <v>96</v>
      </c>
      <c r="J403" s="2">
        <f t="shared" si="33"/>
        <v>76.349999999999994</v>
      </c>
      <c r="K403" s="2"/>
      <c r="L403" s="6">
        <v>30</v>
      </c>
      <c r="M403" s="6">
        <v>28</v>
      </c>
    </row>
    <row r="404" spans="1:13" ht="18.75" customHeight="1">
      <c r="A404" s="6" t="str">
        <f>"10522018022610394281694"</f>
        <v>10522018022610394281694</v>
      </c>
      <c r="B404" s="4">
        <v>402</v>
      </c>
      <c r="C404" s="1" t="s">
        <v>26</v>
      </c>
      <c r="D404" s="2" t="str">
        <f t="shared" si="31"/>
        <v>女</v>
      </c>
      <c r="E404" s="2" t="str">
        <f>"341281199711166568"</f>
        <v>341281199711166568</v>
      </c>
      <c r="F404" s="3" t="str">
        <f t="shared" si="32"/>
        <v>护理</v>
      </c>
      <c r="G404" s="2" t="str">
        <f>"2018012609"</f>
        <v>2018012609</v>
      </c>
      <c r="H404" s="2">
        <v>32.5</v>
      </c>
      <c r="I404" s="2">
        <v>95</v>
      </c>
      <c r="J404" s="2">
        <f t="shared" si="33"/>
        <v>76.25</v>
      </c>
      <c r="K404" s="2"/>
      <c r="L404" s="6">
        <v>26</v>
      </c>
      <c r="M404" s="6">
        <v>9</v>
      </c>
    </row>
    <row r="405" spans="1:13" ht="18.75" customHeight="1">
      <c r="A405" s="6" t="str">
        <f>"10522018022701451882119"</f>
        <v>10522018022701451882119</v>
      </c>
      <c r="B405" s="4">
        <v>403</v>
      </c>
      <c r="C405" s="1" t="s">
        <v>26</v>
      </c>
      <c r="D405" s="2" t="str">
        <f t="shared" si="31"/>
        <v>女</v>
      </c>
      <c r="E405" s="2" t="str">
        <f>"341223199511270324"</f>
        <v>341223199511270324</v>
      </c>
      <c r="F405" s="3" t="str">
        <f t="shared" si="32"/>
        <v>护理</v>
      </c>
      <c r="G405" s="2" t="str">
        <f>"2018012822"</f>
        <v>2018012822</v>
      </c>
      <c r="H405" s="2">
        <v>53.5</v>
      </c>
      <c r="I405" s="2">
        <v>86</v>
      </c>
      <c r="J405" s="2">
        <f t="shared" si="33"/>
        <v>76.25</v>
      </c>
      <c r="K405" s="2"/>
      <c r="L405" s="6">
        <v>28</v>
      </c>
      <c r="M405" s="6">
        <v>22</v>
      </c>
    </row>
    <row r="406" spans="1:13" ht="18.75" customHeight="1">
      <c r="A406" s="6" t="str">
        <f>"10522018022813121882583"</f>
        <v>10522018022813121882583</v>
      </c>
      <c r="B406" s="4">
        <v>404</v>
      </c>
      <c r="C406" s="1" t="s">
        <v>26</v>
      </c>
      <c r="D406" s="2" t="str">
        <f t="shared" si="31"/>
        <v>女</v>
      </c>
      <c r="E406" s="2" t="str">
        <f>"341623199301082642"</f>
        <v>341623199301082642</v>
      </c>
      <c r="F406" s="3" t="str">
        <f t="shared" si="32"/>
        <v>护理</v>
      </c>
      <c r="G406" s="2" t="str">
        <f>"2018013223"</f>
        <v>2018013223</v>
      </c>
      <c r="H406" s="2">
        <v>41.5</v>
      </c>
      <c r="I406" s="2">
        <v>91</v>
      </c>
      <c r="J406" s="2">
        <f t="shared" si="33"/>
        <v>76.149999999999991</v>
      </c>
      <c r="K406" s="2"/>
      <c r="L406" s="6">
        <v>32</v>
      </c>
      <c r="M406" s="6">
        <v>23</v>
      </c>
    </row>
    <row r="407" spans="1:13" ht="18.75" customHeight="1">
      <c r="A407" s="6" t="str">
        <f>"10522018022609313781615"</f>
        <v>10522018022609313781615</v>
      </c>
      <c r="B407" s="4">
        <v>405</v>
      </c>
      <c r="C407" s="1" t="s">
        <v>26</v>
      </c>
      <c r="D407" s="2" t="str">
        <f t="shared" si="31"/>
        <v>女</v>
      </c>
      <c r="E407" s="2" t="str">
        <f>"341223199302174168"</f>
        <v>341223199302174168</v>
      </c>
      <c r="F407" s="3" t="str">
        <f t="shared" si="32"/>
        <v>护理</v>
      </c>
      <c r="G407" s="2" t="str">
        <f>"2018012716"</f>
        <v>2018012716</v>
      </c>
      <c r="H407" s="2">
        <v>43.5</v>
      </c>
      <c r="I407" s="2">
        <v>90</v>
      </c>
      <c r="J407" s="2">
        <f t="shared" si="33"/>
        <v>76.05</v>
      </c>
      <c r="K407" s="2"/>
      <c r="L407" s="6">
        <v>27</v>
      </c>
      <c r="M407" s="6">
        <v>16</v>
      </c>
    </row>
    <row r="408" spans="1:13" ht="18.75" customHeight="1">
      <c r="A408" s="6" t="str">
        <f>"10522018022623240582114"</f>
        <v>10522018022623240582114</v>
      </c>
      <c r="B408" s="4">
        <v>406</v>
      </c>
      <c r="C408" s="1" t="s">
        <v>26</v>
      </c>
      <c r="D408" s="2" t="str">
        <f t="shared" si="31"/>
        <v>女</v>
      </c>
      <c r="E408" s="2" t="str">
        <f>"341223199501161327"</f>
        <v>341223199501161327</v>
      </c>
      <c r="F408" s="3" t="str">
        <f t="shared" si="32"/>
        <v>护理</v>
      </c>
      <c r="G408" s="2" t="str">
        <f>"2018012902"</f>
        <v>2018012902</v>
      </c>
      <c r="H408" s="2">
        <v>41</v>
      </c>
      <c r="I408" s="2">
        <v>91</v>
      </c>
      <c r="J408" s="2">
        <f t="shared" si="33"/>
        <v>76</v>
      </c>
      <c r="K408" s="2"/>
      <c r="L408" s="6">
        <v>29</v>
      </c>
      <c r="M408" s="6">
        <v>2</v>
      </c>
    </row>
    <row r="409" spans="1:13" ht="18.75" customHeight="1">
      <c r="A409" s="6" t="str">
        <f>"10522018022710085982164"</f>
        <v>10522018022710085982164</v>
      </c>
      <c r="B409" s="4">
        <v>407</v>
      </c>
      <c r="C409" s="1" t="s">
        <v>26</v>
      </c>
      <c r="D409" s="2" t="str">
        <f t="shared" si="31"/>
        <v>女</v>
      </c>
      <c r="E409" s="2" t="str">
        <f>"341621199404225324"</f>
        <v>341621199404225324</v>
      </c>
      <c r="F409" s="3" t="str">
        <f t="shared" si="32"/>
        <v>护理</v>
      </c>
      <c r="G409" s="2" t="str">
        <f>"2018013226"</f>
        <v>2018013226</v>
      </c>
      <c r="H409" s="2">
        <v>34</v>
      </c>
      <c r="I409" s="2">
        <v>94</v>
      </c>
      <c r="J409" s="2">
        <f t="shared" si="33"/>
        <v>76</v>
      </c>
      <c r="K409" s="2"/>
      <c r="L409" s="6">
        <v>32</v>
      </c>
      <c r="M409" s="6">
        <v>26</v>
      </c>
    </row>
    <row r="410" spans="1:13" ht="18.75" customHeight="1">
      <c r="A410" s="6" t="str">
        <f>"10522018022616423781964"</f>
        <v>10522018022616423781964</v>
      </c>
      <c r="B410" s="4">
        <v>408</v>
      </c>
      <c r="C410" s="1" t="s">
        <v>26</v>
      </c>
      <c r="D410" s="2" t="str">
        <f t="shared" si="31"/>
        <v>女</v>
      </c>
      <c r="E410" s="2" t="str">
        <f>"341623199401208329"</f>
        <v>341623199401208329</v>
      </c>
      <c r="F410" s="3" t="str">
        <f t="shared" si="32"/>
        <v>护理</v>
      </c>
      <c r="G410" s="2" t="str">
        <f>"2018013203"</f>
        <v>2018013203</v>
      </c>
      <c r="H410" s="2">
        <v>45</v>
      </c>
      <c r="I410" s="2">
        <v>89</v>
      </c>
      <c r="J410" s="2">
        <f t="shared" si="33"/>
        <v>75.8</v>
      </c>
      <c r="K410" s="2"/>
      <c r="L410" s="6">
        <v>32</v>
      </c>
      <c r="M410" s="6">
        <v>3</v>
      </c>
    </row>
    <row r="411" spans="1:13" ht="18.75" customHeight="1">
      <c r="A411" s="6" t="str">
        <f>"10522018022811072682534"</f>
        <v>10522018022811072682534</v>
      </c>
      <c r="B411" s="4">
        <v>409</v>
      </c>
      <c r="C411" s="1" t="s">
        <v>26</v>
      </c>
      <c r="D411" s="2" t="str">
        <f t="shared" si="31"/>
        <v>女</v>
      </c>
      <c r="E411" s="2" t="str">
        <f>"341281199501250462"</f>
        <v>341281199501250462</v>
      </c>
      <c r="F411" s="3" t="str">
        <f t="shared" si="32"/>
        <v>护理</v>
      </c>
      <c r="G411" s="2" t="str">
        <f>"2018012420"</f>
        <v>2018012420</v>
      </c>
      <c r="H411" s="2">
        <v>47</v>
      </c>
      <c r="I411" s="2">
        <v>88</v>
      </c>
      <c r="J411" s="2">
        <f t="shared" si="33"/>
        <v>75.699999999999989</v>
      </c>
      <c r="K411" s="2"/>
      <c r="L411" s="6">
        <v>24</v>
      </c>
      <c r="M411" s="6">
        <v>20</v>
      </c>
    </row>
    <row r="412" spans="1:13" ht="18.75" customHeight="1">
      <c r="A412" s="6" t="str">
        <f>"10522018030100040982775"</f>
        <v>10522018030100040982775</v>
      </c>
      <c r="B412" s="4">
        <v>410</v>
      </c>
      <c r="C412" s="1" t="s">
        <v>26</v>
      </c>
      <c r="D412" s="2" t="str">
        <f t="shared" si="31"/>
        <v>女</v>
      </c>
      <c r="E412" s="2" t="str">
        <f>"341223199509054526"</f>
        <v>341223199509054526</v>
      </c>
      <c r="F412" s="3" t="str">
        <f t="shared" si="32"/>
        <v>护理</v>
      </c>
      <c r="G412" s="2" t="str">
        <f>"2018012721"</f>
        <v>2018012721</v>
      </c>
      <c r="H412" s="2">
        <v>40</v>
      </c>
      <c r="I412" s="2">
        <v>91</v>
      </c>
      <c r="J412" s="2">
        <f t="shared" si="33"/>
        <v>75.699999999999989</v>
      </c>
      <c r="K412" s="2"/>
      <c r="L412" s="6">
        <v>27</v>
      </c>
      <c r="M412" s="6">
        <v>21</v>
      </c>
    </row>
    <row r="413" spans="1:13" ht="18.75" customHeight="1">
      <c r="A413" s="6" t="str">
        <f>"10522018030121475783037"</f>
        <v>10522018030121475783037</v>
      </c>
      <c r="B413" s="4">
        <v>411</v>
      </c>
      <c r="C413" s="1" t="s">
        <v>26</v>
      </c>
      <c r="D413" s="2" t="str">
        <f t="shared" ref="D413:D436" si="34">"女"</f>
        <v>女</v>
      </c>
      <c r="E413" s="2" t="str">
        <f>"341223199504200221"</f>
        <v>341223199504200221</v>
      </c>
      <c r="F413" s="3" t="str">
        <f t="shared" ref="F413:F438" si="35">"护理"</f>
        <v>护理</v>
      </c>
      <c r="G413" s="2" t="str">
        <f>"2018012515"</f>
        <v>2018012515</v>
      </c>
      <c r="H413" s="2">
        <v>37.5</v>
      </c>
      <c r="I413" s="2">
        <v>92</v>
      </c>
      <c r="J413" s="2">
        <f t="shared" si="33"/>
        <v>75.649999999999991</v>
      </c>
      <c r="K413" s="2"/>
      <c r="L413" s="6">
        <v>25</v>
      </c>
      <c r="M413" s="6">
        <v>15</v>
      </c>
    </row>
    <row r="414" spans="1:13" ht="18.75" customHeight="1">
      <c r="A414" s="6" t="str">
        <f>"10522018030116360482959"</f>
        <v>10522018030116360482959</v>
      </c>
      <c r="B414" s="4">
        <v>412</v>
      </c>
      <c r="C414" s="1" t="s">
        <v>26</v>
      </c>
      <c r="D414" s="2" t="str">
        <f t="shared" si="34"/>
        <v>女</v>
      </c>
      <c r="E414" s="2" t="str">
        <f>"341223199302210421"</f>
        <v>341223199302210421</v>
      </c>
      <c r="F414" s="3" t="str">
        <f t="shared" si="35"/>
        <v>护理</v>
      </c>
      <c r="G414" s="2" t="str">
        <f>"2018013108"</f>
        <v>2018013108</v>
      </c>
      <c r="H414" s="2">
        <v>56</v>
      </c>
      <c r="I414" s="2">
        <v>84</v>
      </c>
      <c r="J414" s="2">
        <f t="shared" si="33"/>
        <v>75.599999999999994</v>
      </c>
      <c r="K414" s="2"/>
      <c r="L414" s="6">
        <v>31</v>
      </c>
      <c r="M414" s="6">
        <v>8</v>
      </c>
    </row>
    <row r="415" spans="1:13" ht="18.75" customHeight="1">
      <c r="A415" s="6" t="str">
        <f>"10522018022816080482646"</f>
        <v>10522018022816080482646</v>
      </c>
      <c r="B415" s="4">
        <v>413</v>
      </c>
      <c r="C415" s="1" t="s">
        <v>26</v>
      </c>
      <c r="D415" s="2" t="str">
        <f t="shared" si="34"/>
        <v>女</v>
      </c>
      <c r="E415" s="2" t="str">
        <f>"341621199406181927"</f>
        <v>341621199406181927</v>
      </c>
      <c r="F415" s="3" t="str">
        <f t="shared" si="35"/>
        <v>护理</v>
      </c>
      <c r="G415" s="2" t="str">
        <f>"2018012427"</f>
        <v>2018012427</v>
      </c>
      <c r="H415" s="2">
        <v>34.5</v>
      </c>
      <c r="I415" s="2">
        <v>93</v>
      </c>
      <c r="J415" s="2">
        <f t="shared" si="33"/>
        <v>75.449999999999989</v>
      </c>
      <c r="K415" s="2"/>
      <c r="L415" s="6">
        <v>24</v>
      </c>
      <c r="M415" s="6">
        <v>27</v>
      </c>
    </row>
    <row r="416" spans="1:13" ht="18.75" customHeight="1">
      <c r="A416" s="6" t="str">
        <f>"10522018022618410882018"</f>
        <v>10522018022618410882018</v>
      </c>
      <c r="B416" s="4">
        <v>414</v>
      </c>
      <c r="C416" s="1" t="s">
        <v>26</v>
      </c>
      <c r="D416" s="2" t="str">
        <f t="shared" si="34"/>
        <v>女</v>
      </c>
      <c r="E416" s="2" t="str">
        <f>"34128119970207926X"</f>
        <v>34128119970207926X</v>
      </c>
      <c r="F416" s="3" t="str">
        <f t="shared" si="35"/>
        <v>护理</v>
      </c>
      <c r="G416" s="2" t="str">
        <f>"2018012430"</f>
        <v>2018012430</v>
      </c>
      <c r="H416" s="2">
        <v>32</v>
      </c>
      <c r="I416" s="2">
        <v>94</v>
      </c>
      <c r="J416" s="2">
        <f t="shared" si="33"/>
        <v>75.399999999999991</v>
      </c>
      <c r="K416" s="2"/>
      <c r="L416" s="6">
        <v>24</v>
      </c>
      <c r="M416" s="6">
        <v>30</v>
      </c>
    </row>
    <row r="417" spans="1:13" ht="18.75" customHeight="1">
      <c r="A417" s="6" t="str">
        <f>"10522018030109235182804"</f>
        <v>10522018030109235182804</v>
      </c>
      <c r="B417" s="4">
        <v>415</v>
      </c>
      <c r="C417" s="1" t="s">
        <v>26</v>
      </c>
      <c r="D417" s="2" t="str">
        <f t="shared" si="34"/>
        <v>女</v>
      </c>
      <c r="E417" s="2" t="str">
        <f>"341621199407143121"</f>
        <v>341621199407143121</v>
      </c>
      <c r="F417" s="3" t="str">
        <f t="shared" si="35"/>
        <v>护理</v>
      </c>
      <c r="G417" s="2" t="str">
        <f>"2018012616"</f>
        <v>2018012616</v>
      </c>
      <c r="H417" s="2">
        <v>48</v>
      </c>
      <c r="I417" s="2">
        <v>87</v>
      </c>
      <c r="J417" s="2">
        <f t="shared" si="33"/>
        <v>75.3</v>
      </c>
      <c r="K417" s="2"/>
      <c r="L417" s="6">
        <v>26</v>
      </c>
      <c r="M417" s="6">
        <v>16</v>
      </c>
    </row>
    <row r="418" spans="1:13" ht="18.75" customHeight="1">
      <c r="A418" s="6" t="str">
        <f>"10522018022611210781754"</f>
        <v>10522018022611210781754</v>
      </c>
      <c r="B418" s="4">
        <v>416</v>
      </c>
      <c r="C418" s="1" t="s">
        <v>26</v>
      </c>
      <c r="D418" s="2" t="str">
        <f t="shared" si="34"/>
        <v>女</v>
      </c>
      <c r="E418" s="2" t="str">
        <f>"341623199504280024"</f>
        <v>341623199504280024</v>
      </c>
      <c r="F418" s="3" t="str">
        <f t="shared" si="35"/>
        <v>护理</v>
      </c>
      <c r="G418" s="2" t="str">
        <f>"2018013127"</f>
        <v>2018013127</v>
      </c>
      <c r="H418" s="2">
        <v>41</v>
      </c>
      <c r="I418" s="2">
        <v>90</v>
      </c>
      <c r="J418" s="2">
        <f t="shared" si="33"/>
        <v>75.3</v>
      </c>
      <c r="K418" s="2"/>
      <c r="L418" s="6">
        <v>31</v>
      </c>
      <c r="M418" s="6">
        <v>27</v>
      </c>
    </row>
    <row r="419" spans="1:13" ht="18.75" customHeight="1">
      <c r="A419" s="6" t="str">
        <f>"10522018030207564883066"</f>
        <v>10522018030207564883066</v>
      </c>
      <c r="B419" s="4">
        <v>417</v>
      </c>
      <c r="C419" s="1" t="s">
        <v>26</v>
      </c>
      <c r="D419" s="2" t="str">
        <f t="shared" si="34"/>
        <v>女</v>
      </c>
      <c r="E419" s="2" t="str">
        <f>"341227199707043428"</f>
        <v>341227199707043428</v>
      </c>
      <c r="F419" s="3" t="str">
        <f t="shared" si="35"/>
        <v>护理</v>
      </c>
      <c r="G419" s="2" t="str">
        <f>"2018012417"</f>
        <v>2018012417</v>
      </c>
      <c r="H419" s="2">
        <v>27</v>
      </c>
      <c r="I419" s="2">
        <v>96</v>
      </c>
      <c r="J419" s="2">
        <f t="shared" si="33"/>
        <v>75.299999999999983</v>
      </c>
      <c r="K419" s="2"/>
      <c r="L419" s="6">
        <v>24</v>
      </c>
      <c r="M419" s="6">
        <v>17</v>
      </c>
    </row>
    <row r="420" spans="1:13" ht="18.75" customHeight="1">
      <c r="A420" s="6" t="str">
        <f>"10522018022814562482624"</f>
        <v>10522018022814562482624</v>
      </c>
      <c r="B420" s="4">
        <v>418</v>
      </c>
      <c r="C420" s="1" t="s">
        <v>26</v>
      </c>
      <c r="D420" s="2" t="str">
        <f t="shared" si="34"/>
        <v>女</v>
      </c>
      <c r="E420" s="2" t="str">
        <f>"341223199411051925"</f>
        <v>341223199411051925</v>
      </c>
      <c r="F420" s="3" t="str">
        <f t="shared" si="35"/>
        <v>护理</v>
      </c>
      <c r="G420" s="2" t="str">
        <f>"2018012524"</f>
        <v>2018012524</v>
      </c>
      <c r="H420" s="2">
        <v>52.5</v>
      </c>
      <c r="I420" s="2">
        <v>85</v>
      </c>
      <c r="J420" s="2">
        <f t="shared" si="33"/>
        <v>75.25</v>
      </c>
      <c r="K420" s="2"/>
      <c r="L420" s="6">
        <v>25</v>
      </c>
      <c r="M420" s="6">
        <v>24</v>
      </c>
    </row>
    <row r="421" spans="1:13" ht="18.75" customHeight="1">
      <c r="A421" s="6" t="str">
        <f>"10522018022810480782526"</f>
        <v>10522018022810480782526</v>
      </c>
      <c r="B421" s="4">
        <v>419</v>
      </c>
      <c r="C421" s="1" t="s">
        <v>26</v>
      </c>
      <c r="D421" s="2" t="str">
        <f t="shared" si="34"/>
        <v>女</v>
      </c>
      <c r="E421" s="2" t="str">
        <f>"34122419951228912X"</f>
        <v>34122419951228912X</v>
      </c>
      <c r="F421" s="3" t="str">
        <f t="shared" si="35"/>
        <v>护理</v>
      </c>
      <c r="G421" s="2" t="str">
        <f>"2018012516"</f>
        <v>2018012516</v>
      </c>
      <c r="H421" s="2">
        <v>36</v>
      </c>
      <c r="I421" s="2">
        <v>92</v>
      </c>
      <c r="J421" s="2">
        <f t="shared" si="33"/>
        <v>75.199999999999989</v>
      </c>
      <c r="K421" s="2"/>
      <c r="L421" s="6">
        <v>25</v>
      </c>
      <c r="M421" s="6">
        <v>16</v>
      </c>
    </row>
    <row r="422" spans="1:13" ht="18.75" customHeight="1">
      <c r="A422" s="6" t="str">
        <f>"10522018030117574782979"</f>
        <v>10522018030117574782979</v>
      </c>
      <c r="B422" s="4">
        <v>420</v>
      </c>
      <c r="C422" s="1" t="s">
        <v>26</v>
      </c>
      <c r="D422" s="2" t="str">
        <f t="shared" si="34"/>
        <v>女</v>
      </c>
      <c r="E422" s="2" t="str">
        <f>"341227199410294445"</f>
        <v>341227199410294445</v>
      </c>
      <c r="F422" s="3" t="str">
        <f t="shared" si="35"/>
        <v>护理</v>
      </c>
      <c r="G422" s="2" t="str">
        <f>"2018012410"</f>
        <v>2018012410</v>
      </c>
      <c r="H422" s="2">
        <v>40</v>
      </c>
      <c r="I422" s="2">
        <v>90</v>
      </c>
      <c r="J422" s="2">
        <f t="shared" si="33"/>
        <v>75</v>
      </c>
      <c r="K422" s="2"/>
      <c r="L422" s="6">
        <v>24</v>
      </c>
      <c r="M422" s="6">
        <v>10</v>
      </c>
    </row>
    <row r="423" spans="1:13" ht="18.75" customHeight="1">
      <c r="A423" s="6" t="str">
        <f>"10522018030209481583094"</f>
        <v>10522018030209481583094</v>
      </c>
      <c r="B423" s="4">
        <v>421</v>
      </c>
      <c r="C423" s="1" t="s">
        <v>26</v>
      </c>
      <c r="D423" s="2" t="str">
        <f t="shared" si="34"/>
        <v>女</v>
      </c>
      <c r="E423" s="2" t="str">
        <f>"341223199409210229"</f>
        <v>341223199409210229</v>
      </c>
      <c r="F423" s="3" t="str">
        <f t="shared" si="35"/>
        <v>护理</v>
      </c>
      <c r="G423" s="2" t="str">
        <f>"2018012502"</f>
        <v>2018012502</v>
      </c>
      <c r="H423" s="2">
        <v>42</v>
      </c>
      <c r="I423" s="2">
        <v>89</v>
      </c>
      <c r="J423" s="2">
        <f t="shared" si="33"/>
        <v>74.899999999999991</v>
      </c>
      <c r="K423" s="2"/>
      <c r="L423" s="6">
        <v>25</v>
      </c>
      <c r="M423" s="6">
        <v>2</v>
      </c>
    </row>
    <row r="424" spans="1:13" ht="18.75" customHeight="1">
      <c r="A424" s="6" t="str">
        <f>"10522018030111325982848"</f>
        <v>10522018030111325982848</v>
      </c>
      <c r="B424" s="4">
        <v>422</v>
      </c>
      <c r="C424" s="1" t="s">
        <v>26</v>
      </c>
      <c r="D424" s="2" t="str">
        <f t="shared" si="34"/>
        <v>女</v>
      </c>
      <c r="E424" s="2" t="str">
        <f>"341223199410010128"</f>
        <v>341223199410010128</v>
      </c>
      <c r="F424" s="3" t="str">
        <f t="shared" si="35"/>
        <v>护理</v>
      </c>
      <c r="G424" s="2" t="str">
        <f>"2018013124"</f>
        <v>2018013124</v>
      </c>
      <c r="H424" s="2">
        <v>46.5</v>
      </c>
      <c r="I424" s="2">
        <v>87</v>
      </c>
      <c r="J424" s="2">
        <f t="shared" si="33"/>
        <v>74.849999999999994</v>
      </c>
      <c r="K424" s="2"/>
      <c r="L424" s="6">
        <v>31</v>
      </c>
      <c r="M424" s="6">
        <v>24</v>
      </c>
    </row>
    <row r="425" spans="1:13" ht="18.75" customHeight="1">
      <c r="A425" s="6" t="str">
        <f>"10522018022808544182471"</f>
        <v>10522018022808544182471</v>
      </c>
      <c r="B425" s="4">
        <v>423</v>
      </c>
      <c r="C425" s="1" t="s">
        <v>26</v>
      </c>
      <c r="D425" s="2" t="str">
        <f t="shared" si="34"/>
        <v>女</v>
      </c>
      <c r="E425" s="2" t="str">
        <f>"341223199701011948"</f>
        <v>341223199701011948</v>
      </c>
      <c r="F425" s="3" t="str">
        <f t="shared" si="35"/>
        <v>护理</v>
      </c>
      <c r="G425" s="2" t="str">
        <f>"2018012808"</f>
        <v>2018012808</v>
      </c>
      <c r="H425" s="2">
        <v>30</v>
      </c>
      <c r="I425" s="2">
        <v>94</v>
      </c>
      <c r="J425" s="2">
        <f t="shared" si="33"/>
        <v>74.8</v>
      </c>
      <c r="K425" s="2"/>
      <c r="L425" s="6">
        <v>28</v>
      </c>
      <c r="M425" s="6">
        <v>8</v>
      </c>
    </row>
    <row r="426" spans="1:13" ht="18.75" customHeight="1">
      <c r="A426" s="6" t="str">
        <f>"10522018022621253182087"</f>
        <v>10522018022621253182087</v>
      </c>
      <c r="B426" s="4">
        <v>424</v>
      </c>
      <c r="C426" s="1" t="s">
        <v>26</v>
      </c>
      <c r="D426" s="2" t="str">
        <f t="shared" si="34"/>
        <v>女</v>
      </c>
      <c r="E426" s="2" t="str">
        <f>"341622199307250428"</f>
        <v>341622199307250428</v>
      </c>
      <c r="F426" s="3" t="str">
        <f t="shared" si="35"/>
        <v>护理</v>
      </c>
      <c r="G426" s="2" t="str">
        <f>"2018013027"</f>
        <v>2018013027</v>
      </c>
      <c r="H426" s="2">
        <v>32</v>
      </c>
      <c r="I426" s="2">
        <v>93</v>
      </c>
      <c r="J426" s="2">
        <f t="shared" si="33"/>
        <v>74.699999999999989</v>
      </c>
      <c r="K426" s="2"/>
      <c r="L426" s="6">
        <v>30</v>
      </c>
      <c r="M426" s="6">
        <v>27</v>
      </c>
    </row>
    <row r="427" spans="1:13" ht="18.75" customHeight="1">
      <c r="A427" s="6" t="str">
        <f>"10522018022611374181765"</f>
        <v>10522018022611374181765</v>
      </c>
      <c r="B427" s="4">
        <v>425</v>
      </c>
      <c r="C427" s="1" t="s">
        <v>26</v>
      </c>
      <c r="D427" s="2" t="str">
        <f t="shared" si="34"/>
        <v>女</v>
      </c>
      <c r="E427" s="2" t="str">
        <f>"34122319940611352X"</f>
        <v>34122319940611352X</v>
      </c>
      <c r="F427" s="3" t="str">
        <f t="shared" si="35"/>
        <v>护理</v>
      </c>
      <c r="G427" s="2" t="str">
        <f>"2018013822"</f>
        <v>2018013822</v>
      </c>
      <c r="H427" s="2">
        <v>41</v>
      </c>
      <c r="I427" s="2">
        <v>89</v>
      </c>
      <c r="J427" s="2">
        <f t="shared" si="33"/>
        <v>74.599999999999994</v>
      </c>
      <c r="K427" s="2"/>
      <c r="L427" s="6">
        <v>38</v>
      </c>
      <c r="M427" s="6">
        <v>22</v>
      </c>
    </row>
    <row r="428" spans="1:13" ht="18.75" customHeight="1">
      <c r="A428" s="6" t="str">
        <f>"10522018022810122782503"</f>
        <v>10522018022810122782503</v>
      </c>
      <c r="B428" s="4">
        <v>426</v>
      </c>
      <c r="C428" s="1" t="s">
        <v>26</v>
      </c>
      <c r="D428" s="2" t="str">
        <f t="shared" si="34"/>
        <v>女</v>
      </c>
      <c r="E428" s="2" t="str">
        <f>"341623199305083087"</f>
        <v>341623199305083087</v>
      </c>
      <c r="F428" s="3" t="str">
        <f t="shared" si="35"/>
        <v>护理</v>
      </c>
      <c r="G428" s="2" t="str">
        <f>"2018012810"</f>
        <v>2018012810</v>
      </c>
      <c r="H428" s="2">
        <v>31.5</v>
      </c>
      <c r="I428" s="2">
        <v>93</v>
      </c>
      <c r="J428" s="2">
        <f t="shared" si="33"/>
        <v>74.55</v>
      </c>
      <c r="K428" s="2"/>
      <c r="L428" s="6">
        <v>28</v>
      </c>
      <c r="M428" s="6">
        <v>10</v>
      </c>
    </row>
    <row r="429" spans="1:13" ht="18.75" customHeight="1">
      <c r="A429" s="6" t="str">
        <f>"10522018022808401882467"</f>
        <v>10522018022808401882467</v>
      </c>
      <c r="B429" s="4">
        <v>427</v>
      </c>
      <c r="C429" s="1" t="s">
        <v>26</v>
      </c>
      <c r="D429" s="2" t="str">
        <f t="shared" si="34"/>
        <v>女</v>
      </c>
      <c r="E429" s="2" t="str">
        <f>"341281199703102441"</f>
        <v>341281199703102441</v>
      </c>
      <c r="F429" s="3" t="str">
        <f t="shared" si="35"/>
        <v>护理</v>
      </c>
      <c r="G429" s="2" t="str">
        <f>"2018013107"</f>
        <v>2018013107</v>
      </c>
      <c r="H429" s="2">
        <v>38</v>
      </c>
      <c r="I429" s="2">
        <v>90</v>
      </c>
      <c r="J429" s="2">
        <f t="shared" si="33"/>
        <v>74.399999999999991</v>
      </c>
      <c r="K429" s="2"/>
      <c r="L429" s="6">
        <v>31</v>
      </c>
      <c r="M429" s="6">
        <v>7</v>
      </c>
    </row>
    <row r="430" spans="1:13" ht="18.75" customHeight="1">
      <c r="A430" s="6" t="str">
        <f>"10522018022818341282687"</f>
        <v>10522018022818341282687</v>
      </c>
      <c r="B430" s="4">
        <v>428</v>
      </c>
      <c r="C430" s="1" t="s">
        <v>26</v>
      </c>
      <c r="D430" s="2" t="str">
        <f t="shared" si="34"/>
        <v>女</v>
      </c>
      <c r="E430" s="2" t="str">
        <f>"341227199403013449"</f>
        <v>341227199403013449</v>
      </c>
      <c r="F430" s="3" t="str">
        <f t="shared" si="35"/>
        <v>护理</v>
      </c>
      <c r="G430" s="2" t="str">
        <f>"2018012717"</f>
        <v>2018012717</v>
      </c>
      <c r="H430" s="2">
        <v>46.5</v>
      </c>
      <c r="I430" s="2">
        <v>86</v>
      </c>
      <c r="J430" s="2">
        <f t="shared" si="33"/>
        <v>74.149999999999991</v>
      </c>
      <c r="K430" s="2"/>
      <c r="L430" s="6">
        <v>27</v>
      </c>
      <c r="M430" s="6">
        <v>17</v>
      </c>
    </row>
    <row r="431" spans="1:13" ht="18.75" customHeight="1">
      <c r="A431" s="6" t="str">
        <f>"10522018022713432582240"</f>
        <v>10522018022713432582240</v>
      </c>
      <c r="B431" s="4">
        <v>429</v>
      </c>
      <c r="C431" s="1" t="s">
        <v>26</v>
      </c>
      <c r="D431" s="2" t="str">
        <f t="shared" si="34"/>
        <v>女</v>
      </c>
      <c r="E431" s="2" t="str">
        <f>"341602199601107467"</f>
        <v>341602199601107467</v>
      </c>
      <c r="F431" s="3" t="str">
        <f t="shared" si="35"/>
        <v>护理</v>
      </c>
      <c r="G431" s="2" t="str">
        <f>"2018013206"</f>
        <v>2018013206</v>
      </c>
      <c r="H431" s="2">
        <v>37</v>
      </c>
      <c r="I431" s="2">
        <v>90</v>
      </c>
      <c r="J431" s="2">
        <f t="shared" si="33"/>
        <v>74.099999999999994</v>
      </c>
      <c r="K431" s="2"/>
      <c r="L431" s="6">
        <v>32</v>
      </c>
      <c r="M431" s="6">
        <v>6</v>
      </c>
    </row>
    <row r="432" spans="1:13" ht="18.75" customHeight="1">
      <c r="A432" s="6" t="str">
        <f>"10522018022708270882128"</f>
        <v>10522018022708270882128</v>
      </c>
      <c r="B432" s="4">
        <v>430</v>
      </c>
      <c r="C432" s="1" t="s">
        <v>26</v>
      </c>
      <c r="D432" s="2" t="str">
        <f t="shared" si="34"/>
        <v>女</v>
      </c>
      <c r="E432" s="2" t="str">
        <f>"341621199610022923"</f>
        <v>341621199610022923</v>
      </c>
      <c r="F432" s="3" t="str">
        <f t="shared" si="35"/>
        <v>护理</v>
      </c>
      <c r="G432" s="2" t="str">
        <f>"2018013015"</f>
        <v>2018013015</v>
      </c>
      <c r="H432" s="2">
        <v>41.5</v>
      </c>
      <c r="I432" s="2">
        <v>88</v>
      </c>
      <c r="J432" s="2">
        <f t="shared" si="33"/>
        <v>74.05</v>
      </c>
      <c r="K432" s="2"/>
      <c r="L432" s="6">
        <v>30</v>
      </c>
      <c r="M432" s="6">
        <v>15</v>
      </c>
    </row>
    <row r="433" spans="1:13" ht="18.75" customHeight="1">
      <c r="A433" s="6" t="str">
        <f>"10522018022614005681866"</f>
        <v>10522018022614005681866</v>
      </c>
      <c r="B433" s="4">
        <v>431</v>
      </c>
      <c r="C433" s="1" t="s">
        <v>26</v>
      </c>
      <c r="D433" s="2" t="str">
        <f t="shared" si="34"/>
        <v>女</v>
      </c>
      <c r="E433" s="2" t="str">
        <f>"341223199709122343"</f>
        <v>341223199709122343</v>
      </c>
      <c r="F433" s="3" t="str">
        <f t="shared" si="35"/>
        <v>护理</v>
      </c>
      <c r="G433" s="2" t="str">
        <f>"2018012408"</f>
        <v>2018012408</v>
      </c>
      <c r="H433" s="2">
        <v>31.5</v>
      </c>
      <c r="I433" s="2">
        <v>92</v>
      </c>
      <c r="J433" s="2">
        <f t="shared" si="33"/>
        <v>73.849999999999994</v>
      </c>
      <c r="K433" s="2"/>
      <c r="L433" s="6">
        <v>24</v>
      </c>
      <c r="M433" s="6">
        <v>8</v>
      </c>
    </row>
    <row r="434" spans="1:13" ht="18.75" customHeight="1">
      <c r="A434" s="6" t="str">
        <f>"10522018022818321882685"</f>
        <v>10522018022818321882685</v>
      </c>
      <c r="B434" s="4">
        <v>432</v>
      </c>
      <c r="C434" s="1" t="s">
        <v>26</v>
      </c>
      <c r="D434" s="2" t="str">
        <f t="shared" si="34"/>
        <v>女</v>
      </c>
      <c r="E434" s="2" t="str">
        <f>"341623199510119528"</f>
        <v>341623199510119528</v>
      </c>
      <c r="F434" s="3" t="str">
        <f t="shared" si="35"/>
        <v>护理</v>
      </c>
      <c r="G434" s="2" t="str">
        <f>"2018012625"</f>
        <v>2018012625</v>
      </c>
      <c r="H434" s="2">
        <v>36</v>
      </c>
      <c r="I434" s="2">
        <v>90</v>
      </c>
      <c r="J434" s="2">
        <f t="shared" si="33"/>
        <v>73.8</v>
      </c>
      <c r="K434" s="2"/>
      <c r="L434" s="6">
        <v>26</v>
      </c>
      <c r="M434" s="6">
        <v>25</v>
      </c>
    </row>
    <row r="435" spans="1:13" ht="18.75" customHeight="1">
      <c r="A435" s="6" t="str">
        <f>"10522018022719311882367"</f>
        <v>10522018022719311882367</v>
      </c>
      <c r="B435" s="4">
        <v>433</v>
      </c>
      <c r="C435" s="1" t="s">
        <v>26</v>
      </c>
      <c r="D435" s="2" t="str">
        <f t="shared" si="34"/>
        <v>女</v>
      </c>
      <c r="E435" s="2" t="str">
        <f>"341224199507184120"</f>
        <v>341224199507184120</v>
      </c>
      <c r="F435" s="3" t="str">
        <f t="shared" si="35"/>
        <v>护理</v>
      </c>
      <c r="G435" s="2" t="str">
        <f>"2018013011"</f>
        <v>2018013011</v>
      </c>
      <c r="H435" s="2">
        <v>36</v>
      </c>
      <c r="I435" s="2">
        <v>90</v>
      </c>
      <c r="J435" s="2">
        <f t="shared" si="33"/>
        <v>73.8</v>
      </c>
      <c r="K435" s="2"/>
      <c r="L435" s="6">
        <v>30</v>
      </c>
      <c r="M435" s="6">
        <v>11</v>
      </c>
    </row>
    <row r="436" spans="1:13" ht="18.75" customHeight="1">
      <c r="A436" s="6" t="str">
        <f>"10522018030108122282785"</f>
        <v>10522018030108122282785</v>
      </c>
      <c r="B436" s="4">
        <v>434</v>
      </c>
      <c r="C436" s="1" t="s">
        <v>26</v>
      </c>
      <c r="D436" s="2" t="str">
        <f t="shared" si="34"/>
        <v>女</v>
      </c>
      <c r="E436" s="2" t="str">
        <f>"341623199403278021"</f>
        <v>341623199403278021</v>
      </c>
      <c r="F436" s="3" t="str">
        <f t="shared" si="35"/>
        <v>护理</v>
      </c>
      <c r="G436" s="2" t="str">
        <f>"2018012602"</f>
        <v>2018012602</v>
      </c>
      <c r="H436" s="2">
        <v>26.5</v>
      </c>
      <c r="I436" s="2">
        <v>94</v>
      </c>
      <c r="J436" s="2">
        <f t="shared" si="33"/>
        <v>73.75</v>
      </c>
      <c r="K436" s="2"/>
      <c r="L436" s="6">
        <v>26</v>
      </c>
      <c r="M436" s="6">
        <v>2</v>
      </c>
    </row>
    <row r="437" spans="1:13" ht="18.75" customHeight="1">
      <c r="A437" s="6" t="str">
        <f>"10522018022609054681571"</f>
        <v>10522018022609054681571</v>
      </c>
      <c r="B437" s="4">
        <v>435</v>
      </c>
      <c r="C437" s="1" t="s">
        <v>27</v>
      </c>
      <c r="D437" s="2" t="str">
        <f>"男"</f>
        <v>男</v>
      </c>
      <c r="E437" s="2" t="str">
        <f>"341223199507220316"</f>
        <v>341223199507220316</v>
      </c>
      <c r="F437" s="3" t="str">
        <f t="shared" si="35"/>
        <v>护理</v>
      </c>
      <c r="G437" s="2" t="str">
        <f>"2018013827"</f>
        <v>2018013827</v>
      </c>
      <c r="H437" s="2">
        <v>29</v>
      </c>
      <c r="I437" s="2">
        <v>85</v>
      </c>
      <c r="J437" s="2">
        <f t="shared" si="33"/>
        <v>68.199999999999989</v>
      </c>
      <c r="K437" s="2"/>
      <c r="L437" s="6">
        <v>38</v>
      </c>
      <c r="M437" s="6">
        <v>27</v>
      </c>
    </row>
    <row r="438" spans="1:13" ht="18.75" customHeight="1">
      <c r="A438" s="6" t="str">
        <f>"10522018022811154882538"</f>
        <v>10522018022811154882538</v>
      </c>
      <c r="B438" s="4">
        <v>436</v>
      </c>
      <c r="C438" s="1" t="s">
        <v>27</v>
      </c>
      <c r="D438" s="2" t="str">
        <f>"男"</f>
        <v>男</v>
      </c>
      <c r="E438" s="2" t="str">
        <f>"341223199308135119"</f>
        <v>341223199308135119</v>
      </c>
      <c r="F438" s="3" t="str">
        <f t="shared" si="35"/>
        <v>护理</v>
      </c>
      <c r="G438" s="2" t="str">
        <f>"2018013826"</f>
        <v>2018013826</v>
      </c>
      <c r="H438" s="2">
        <v>36.5</v>
      </c>
      <c r="I438" s="2">
        <v>75</v>
      </c>
      <c r="J438" s="2">
        <f t="shared" si="33"/>
        <v>63.45</v>
      </c>
      <c r="K438" s="2"/>
      <c r="L438" s="6">
        <v>38</v>
      </c>
      <c r="M438" s="6">
        <v>26</v>
      </c>
    </row>
    <row r="439" spans="1:13" ht="18.75" customHeight="1">
      <c r="A439" s="6" t="str">
        <f>"10522018022709452182154"</f>
        <v>10522018022709452182154</v>
      </c>
      <c r="B439" s="4">
        <v>437</v>
      </c>
      <c r="C439" s="1" t="s">
        <v>28</v>
      </c>
      <c r="D439" s="2" t="str">
        <f t="shared" ref="D439:D450" si="36">"女"</f>
        <v>女</v>
      </c>
      <c r="E439" s="2" t="str">
        <f>"341223199602102748"</f>
        <v>341223199602102748</v>
      </c>
      <c r="F439" s="3" t="str">
        <f t="shared" ref="F439:F450" si="37">"助产"</f>
        <v>助产</v>
      </c>
      <c r="G439" s="2" t="str">
        <f>"2018013521"</f>
        <v>2018013521</v>
      </c>
      <c r="H439" s="2">
        <v>69</v>
      </c>
      <c r="I439" s="2">
        <v>101</v>
      </c>
      <c r="J439" s="2">
        <f t="shared" si="33"/>
        <v>91.399999999999991</v>
      </c>
      <c r="K439" s="2"/>
      <c r="L439" s="6">
        <v>35</v>
      </c>
      <c r="M439" s="6">
        <v>21</v>
      </c>
    </row>
    <row r="440" spans="1:13" ht="18.75" customHeight="1">
      <c r="A440" s="6" t="str">
        <f>"10522018022611335781763"</f>
        <v>10522018022611335781763</v>
      </c>
      <c r="B440" s="4">
        <v>438</v>
      </c>
      <c r="C440" s="1" t="s">
        <v>28</v>
      </c>
      <c r="D440" s="2" t="str">
        <f t="shared" si="36"/>
        <v>女</v>
      </c>
      <c r="E440" s="2" t="str">
        <f>"341223199312101747"</f>
        <v>341223199312101747</v>
      </c>
      <c r="F440" s="3" t="str">
        <f t="shared" si="37"/>
        <v>助产</v>
      </c>
      <c r="G440" s="2" t="str">
        <f>"2018014003"</f>
        <v>2018014003</v>
      </c>
      <c r="H440" s="2">
        <v>48</v>
      </c>
      <c r="I440" s="2">
        <v>97</v>
      </c>
      <c r="J440" s="2">
        <f t="shared" si="33"/>
        <v>82.299999999999983</v>
      </c>
      <c r="K440" s="2"/>
      <c r="L440" s="6">
        <v>40</v>
      </c>
      <c r="M440" s="6">
        <v>3</v>
      </c>
    </row>
    <row r="441" spans="1:13" ht="18.75" customHeight="1">
      <c r="A441" s="6" t="str">
        <f>"10522018030110065382817"</f>
        <v>10522018030110065382817</v>
      </c>
      <c r="B441" s="4">
        <v>439</v>
      </c>
      <c r="C441" s="1" t="s">
        <v>28</v>
      </c>
      <c r="D441" s="2" t="str">
        <f t="shared" si="36"/>
        <v>女</v>
      </c>
      <c r="E441" s="2" t="str">
        <f>"341621199409061322"</f>
        <v>341621199409061322</v>
      </c>
      <c r="F441" s="3" t="str">
        <f t="shared" si="37"/>
        <v>助产</v>
      </c>
      <c r="G441" s="2" t="str">
        <f>"2018014002"</f>
        <v>2018014002</v>
      </c>
      <c r="H441" s="2">
        <v>41.5</v>
      </c>
      <c r="I441" s="2">
        <v>93</v>
      </c>
      <c r="J441" s="2">
        <f t="shared" si="33"/>
        <v>77.55</v>
      </c>
      <c r="K441" s="2"/>
      <c r="L441" s="6">
        <v>40</v>
      </c>
      <c r="M441" s="6">
        <v>2</v>
      </c>
    </row>
    <row r="442" spans="1:13" ht="18.75" customHeight="1">
      <c r="A442" s="6" t="str">
        <f>"10522018022609385781622"</f>
        <v>10522018022609385781622</v>
      </c>
      <c r="B442" s="4">
        <v>440</v>
      </c>
      <c r="C442" s="1" t="s">
        <v>28</v>
      </c>
      <c r="D442" s="2" t="str">
        <f t="shared" si="36"/>
        <v>女</v>
      </c>
      <c r="E442" s="2" t="str">
        <f>"341284199706066625"</f>
        <v>341284199706066625</v>
      </c>
      <c r="F442" s="3" t="str">
        <f t="shared" si="37"/>
        <v>助产</v>
      </c>
      <c r="G442" s="2" t="str">
        <f>"2018014001"</f>
        <v>2018014001</v>
      </c>
      <c r="H442" s="2">
        <v>46.5</v>
      </c>
      <c r="I442" s="2">
        <v>90</v>
      </c>
      <c r="J442" s="2">
        <f t="shared" si="33"/>
        <v>76.949999999999989</v>
      </c>
      <c r="K442" s="2"/>
      <c r="L442" s="6">
        <v>40</v>
      </c>
      <c r="M442" s="6">
        <v>1</v>
      </c>
    </row>
    <row r="443" spans="1:13" ht="18.75" customHeight="1">
      <c r="A443" s="6" t="str">
        <f>"10522018022611070381736"</f>
        <v>10522018022611070381736</v>
      </c>
      <c r="B443" s="4">
        <v>441</v>
      </c>
      <c r="C443" s="1" t="s">
        <v>28</v>
      </c>
      <c r="D443" s="2" t="str">
        <f t="shared" si="36"/>
        <v>女</v>
      </c>
      <c r="E443" s="2" t="str">
        <f>"341223199401240220"</f>
        <v>341223199401240220</v>
      </c>
      <c r="F443" s="3" t="str">
        <f t="shared" si="37"/>
        <v>助产</v>
      </c>
      <c r="G443" s="2" t="str">
        <f>"2018013526"</f>
        <v>2018013526</v>
      </c>
      <c r="H443" s="2">
        <v>66.5</v>
      </c>
      <c r="I443" s="2">
        <v>79</v>
      </c>
      <c r="J443" s="2">
        <f t="shared" si="33"/>
        <v>75.25</v>
      </c>
      <c r="K443" s="2"/>
      <c r="L443" s="6">
        <v>35</v>
      </c>
      <c r="M443" s="6">
        <v>26</v>
      </c>
    </row>
    <row r="444" spans="1:13" ht="18.75" customHeight="1">
      <c r="A444" s="6" t="str">
        <f>"10522018030211075583109"</f>
        <v>10522018030211075583109</v>
      </c>
      <c r="B444" s="4">
        <v>442</v>
      </c>
      <c r="C444" s="1" t="s">
        <v>28</v>
      </c>
      <c r="D444" s="2" t="str">
        <f t="shared" si="36"/>
        <v>女</v>
      </c>
      <c r="E444" s="2" t="str">
        <f>"341223199509280320"</f>
        <v>341223199509280320</v>
      </c>
      <c r="F444" s="3" t="str">
        <f t="shared" si="37"/>
        <v>助产</v>
      </c>
      <c r="G444" s="2" t="str">
        <f>"2018014005"</f>
        <v>2018014005</v>
      </c>
      <c r="H444" s="2">
        <v>61.5</v>
      </c>
      <c r="I444" s="2">
        <v>76</v>
      </c>
      <c r="J444" s="2">
        <f t="shared" si="33"/>
        <v>71.649999999999991</v>
      </c>
      <c r="K444" s="2"/>
      <c r="L444" s="6">
        <v>40</v>
      </c>
      <c r="M444" s="6">
        <v>5</v>
      </c>
    </row>
    <row r="445" spans="1:13" ht="18.75" customHeight="1">
      <c r="A445" s="6" t="str">
        <f>"10522018022719090082357"</f>
        <v>10522018022719090082357</v>
      </c>
      <c r="B445" s="4">
        <v>443</v>
      </c>
      <c r="C445" s="1" t="s">
        <v>28</v>
      </c>
      <c r="D445" s="2" t="str">
        <f t="shared" si="36"/>
        <v>女</v>
      </c>
      <c r="E445" s="2" t="str">
        <f>"341227199311250746"</f>
        <v>341227199311250746</v>
      </c>
      <c r="F445" s="3" t="str">
        <f t="shared" si="37"/>
        <v>助产</v>
      </c>
      <c r="G445" s="2" t="str">
        <f>"2018014010"</f>
        <v>2018014010</v>
      </c>
      <c r="H445" s="2">
        <v>45</v>
      </c>
      <c r="I445" s="2">
        <v>83</v>
      </c>
      <c r="J445" s="2">
        <f t="shared" si="33"/>
        <v>71.599999999999994</v>
      </c>
      <c r="K445" s="2"/>
      <c r="L445" s="6">
        <v>40</v>
      </c>
      <c r="M445" s="6">
        <v>10</v>
      </c>
    </row>
    <row r="446" spans="1:13" ht="18.75" customHeight="1">
      <c r="A446" s="6" t="str">
        <f>"10522018022621463282095"</f>
        <v>10522018022621463282095</v>
      </c>
      <c r="B446" s="4">
        <v>444</v>
      </c>
      <c r="C446" s="1" t="s">
        <v>28</v>
      </c>
      <c r="D446" s="2" t="str">
        <f t="shared" si="36"/>
        <v>女</v>
      </c>
      <c r="E446" s="2" t="str">
        <f>"341223199510062742"</f>
        <v>341223199510062742</v>
      </c>
      <c r="F446" s="3" t="str">
        <f t="shared" si="37"/>
        <v>助产</v>
      </c>
      <c r="G446" s="2" t="str">
        <f>"2018014006"</f>
        <v>2018014006</v>
      </c>
      <c r="H446" s="2">
        <v>50</v>
      </c>
      <c r="I446" s="2">
        <v>79</v>
      </c>
      <c r="J446" s="2">
        <f t="shared" si="33"/>
        <v>70.3</v>
      </c>
      <c r="K446" s="2"/>
      <c r="L446" s="6">
        <v>40</v>
      </c>
      <c r="M446" s="6">
        <v>6</v>
      </c>
    </row>
    <row r="447" spans="1:13" ht="18.75" customHeight="1">
      <c r="A447" s="6" t="str">
        <f>"10522018030120201783014"</f>
        <v>10522018030120201783014</v>
      </c>
      <c r="B447" s="4">
        <v>445</v>
      </c>
      <c r="C447" s="1" t="s">
        <v>28</v>
      </c>
      <c r="D447" s="2" t="str">
        <f t="shared" si="36"/>
        <v>女</v>
      </c>
      <c r="E447" s="2" t="str">
        <f>"341223199308273140"</f>
        <v>341223199308273140</v>
      </c>
      <c r="F447" s="3" t="str">
        <f t="shared" si="37"/>
        <v>助产</v>
      </c>
      <c r="G447" s="2" t="str">
        <f>"2018014013"</f>
        <v>2018014013</v>
      </c>
      <c r="H447" s="2">
        <v>66</v>
      </c>
      <c r="I447" s="2">
        <v>72</v>
      </c>
      <c r="J447" s="2">
        <f t="shared" si="33"/>
        <v>70.2</v>
      </c>
      <c r="K447" s="2"/>
      <c r="L447" s="6">
        <v>40</v>
      </c>
      <c r="M447" s="6">
        <v>13</v>
      </c>
    </row>
    <row r="448" spans="1:13" ht="18.75" customHeight="1">
      <c r="A448" s="6" t="str">
        <f>"10522018022819283382710"</f>
        <v>10522018022819283382710</v>
      </c>
      <c r="B448" s="4">
        <v>446</v>
      </c>
      <c r="C448" s="1" t="s">
        <v>28</v>
      </c>
      <c r="D448" s="2" t="str">
        <f t="shared" si="36"/>
        <v>女</v>
      </c>
      <c r="E448" s="2" t="str">
        <f>"341224199307315325"</f>
        <v>341224199307315325</v>
      </c>
      <c r="F448" s="3" t="str">
        <f t="shared" si="37"/>
        <v>助产</v>
      </c>
      <c r="G448" s="2" t="str">
        <f>"2018014015"</f>
        <v>2018014015</v>
      </c>
      <c r="H448" s="2">
        <v>32</v>
      </c>
      <c r="I448" s="2">
        <v>86</v>
      </c>
      <c r="J448" s="2">
        <f t="shared" si="33"/>
        <v>69.8</v>
      </c>
      <c r="K448" s="2"/>
      <c r="L448" s="6">
        <v>40</v>
      </c>
      <c r="M448" s="6">
        <v>15</v>
      </c>
    </row>
    <row r="449" spans="1:13" ht="18.75" customHeight="1">
      <c r="A449" s="6" t="str">
        <f>"10522018030111302082845"</f>
        <v>10522018030111302082845</v>
      </c>
      <c r="B449" s="4">
        <v>447</v>
      </c>
      <c r="C449" s="1" t="s">
        <v>28</v>
      </c>
      <c r="D449" s="2" t="str">
        <f t="shared" si="36"/>
        <v>女</v>
      </c>
      <c r="E449" s="2" t="str">
        <f>"341221199305151049"</f>
        <v>341221199305151049</v>
      </c>
      <c r="F449" s="3" t="str">
        <f t="shared" si="37"/>
        <v>助产</v>
      </c>
      <c r="G449" s="2" t="str">
        <f>"2018014014"</f>
        <v>2018014014</v>
      </c>
      <c r="H449" s="2">
        <v>40</v>
      </c>
      <c r="I449" s="2">
        <v>80.5</v>
      </c>
      <c r="J449" s="2">
        <f t="shared" si="33"/>
        <v>68.349999999999994</v>
      </c>
      <c r="K449" s="2"/>
      <c r="L449" s="6">
        <v>40</v>
      </c>
      <c r="M449" s="6">
        <v>14</v>
      </c>
    </row>
    <row r="450" spans="1:13" ht="18.75" customHeight="1">
      <c r="A450" s="6" t="str">
        <f>"10522018022812415082566"</f>
        <v>10522018022812415082566</v>
      </c>
      <c r="B450" s="4">
        <v>448</v>
      </c>
      <c r="C450" s="1" t="s">
        <v>28</v>
      </c>
      <c r="D450" s="2" t="str">
        <f t="shared" si="36"/>
        <v>女</v>
      </c>
      <c r="E450" s="2" t="str">
        <f>"341621199310072128"</f>
        <v>341621199310072128</v>
      </c>
      <c r="F450" s="3" t="str">
        <f t="shared" si="37"/>
        <v>助产</v>
      </c>
      <c r="G450" s="2" t="str">
        <f>"2018013522"</f>
        <v>2018013522</v>
      </c>
      <c r="H450" s="2">
        <v>45.5</v>
      </c>
      <c r="I450" s="2">
        <v>78</v>
      </c>
      <c r="J450" s="2">
        <f t="shared" si="33"/>
        <v>68.25</v>
      </c>
      <c r="K450" s="2"/>
      <c r="L450" s="6">
        <v>35</v>
      </c>
      <c r="M450" s="6">
        <v>22</v>
      </c>
    </row>
    <row r="451" spans="1:13" ht="18.75" customHeight="1">
      <c r="A451" s="6" t="str">
        <f>"10522018030212081183122"</f>
        <v>10522018030212081183122</v>
      </c>
      <c r="B451" s="4">
        <v>449</v>
      </c>
      <c r="C451" s="1" t="s">
        <v>29</v>
      </c>
      <c r="D451" s="2" t="str">
        <f>"男"</f>
        <v>男</v>
      </c>
      <c r="E451" s="2" t="str">
        <f>"341224199308098270"</f>
        <v>341224199308098270</v>
      </c>
      <c r="F451" s="3" t="str">
        <f>"预防医学"</f>
        <v>预防医学</v>
      </c>
      <c r="G451" s="2" t="str">
        <f>"2018014026"</f>
        <v>2018014026</v>
      </c>
      <c r="H451" s="2">
        <v>60</v>
      </c>
      <c r="I451" s="2">
        <v>71</v>
      </c>
      <c r="J451" s="2">
        <f t="shared" ref="J451:J453" si="38">H451*0.3+I451*0.7</f>
        <v>67.699999999999989</v>
      </c>
      <c r="K451" s="2"/>
      <c r="L451" s="6">
        <v>40</v>
      </c>
      <c r="M451" s="6">
        <v>26</v>
      </c>
    </row>
    <row r="452" spans="1:13" ht="18.75" customHeight="1">
      <c r="A452" s="6" t="str">
        <f>"10522018030209180083083"</f>
        <v>10522018030209180083083</v>
      </c>
      <c r="B452" s="4">
        <v>450</v>
      </c>
      <c r="C452" s="1" t="s">
        <v>29</v>
      </c>
      <c r="D452" s="2" t="str">
        <f>"男"</f>
        <v>男</v>
      </c>
      <c r="E452" s="2" t="str">
        <f>"341281199103164219"</f>
        <v>341281199103164219</v>
      </c>
      <c r="F452" s="3" t="str">
        <f>"预防医学"</f>
        <v>预防医学</v>
      </c>
      <c r="G452" s="2" t="str">
        <f>"2018014025"</f>
        <v>2018014025</v>
      </c>
      <c r="H452" s="2">
        <v>56.5</v>
      </c>
      <c r="I452" s="2">
        <v>65</v>
      </c>
      <c r="J452" s="2">
        <f t="shared" si="38"/>
        <v>62.45</v>
      </c>
      <c r="K452" s="2"/>
      <c r="L452" s="6">
        <v>40</v>
      </c>
      <c r="M452" s="6">
        <v>25</v>
      </c>
    </row>
    <row r="453" spans="1:13" ht="18.75" customHeight="1">
      <c r="A453" s="6" t="str">
        <f>"10522018022710445882184"</f>
        <v>10522018022710445882184</v>
      </c>
      <c r="B453" s="4">
        <v>451</v>
      </c>
      <c r="C453" s="1" t="s">
        <v>30</v>
      </c>
      <c r="D453" s="2" t="str">
        <f>"女"</f>
        <v>女</v>
      </c>
      <c r="E453" s="2" t="str">
        <f>"341621199402200721"</f>
        <v>341621199402200721</v>
      </c>
      <c r="F453" s="3" t="str">
        <f>"软件工程"</f>
        <v>软件工程</v>
      </c>
      <c r="G453" s="2" t="str">
        <f>"2018014029"</f>
        <v>2018014029</v>
      </c>
      <c r="H453" s="2">
        <v>63</v>
      </c>
      <c r="I453" s="2">
        <v>61</v>
      </c>
      <c r="J453" s="2">
        <f t="shared" si="38"/>
        <v>61.599999999999994</v>
      </c>
      <c r="K453" s="2"/>
      <c r="L453" s="6">
        <v>40</v>
      </c>
      <c r="M453" s="6">
        <v>29</v>
      </c>
    </row>
  </sheetData>
  <mergeCells count="1">
    <mergeCell ref="B1:K1"/>
  </mergeCells>
  <phoneticPr fontId="2" type="noConversion"/>
  <pageMargins left="0.47244094488188981" right="0.39370078740157483" top="0.6692913385826772" bottom="0.54" header="0.51181102362204722" footer="0.31496062992125984"/>
  <pageSetup paperSize="9" orientation="portrait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资格复审名单</vt:lpstr>
      <vt:lpstr>资格复审名单!Print_Titles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微软用户</cp:lastModifiedBy>
  <cp:lastPrinted>2018-04-02T08:33:31Z</cp:lastPrinted>
  <dcterms:created xsi:type="dcterms:W3CDTF">2018-03-26T06:28:53Z</dcterms:created>
  <dcterms:modified xsi:type="dcterms:W3CDTF">2018-04-08T02:20:06Z</dcterms:modified>
</cp:coreProperties>
</file>