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1435" windowHeight="11145"/>
  </bookViews>
  <sheets>
    <sheet name="入围面试" sheetId="1" r:id="rId1"/>
  </sheets>
  <definedNames>
    <definedName name="_xlnm._FilterDatabase" localSheetId="0" hidden="1">入围面试!$I$1:$I$434</definedName>
    <definedName name="_xlnm.Print_Titles" localSheetId="0">入围面试!$2:$2</definedName>
  </definedNames>
  <calcPr calcId="125725"/>
</workbook>
</file>

<file path=xl/calcChain.xml><?xml version="1.0" encoding="utf-8"?>
<calcChain xmlns="http://schemas.openxmlformats.org/spreadsheetml/2006/main">
  <c r="H431" i="1"/>
  <c r="E431"/>
  <c r="D431"/>
  <c r="H430"/>
  <c r="E430"/>
  <c r="D430"/>
  <c r="H417"/>
  <c r="E417"/>
  <c r="D417"/>
  <c r="H416"/>
  <c r="E416"/>
  <c r="D416"/>
  <c r="H415"/>
  <c r="E415"/>
  <c r="D415"/>
  <c r="H414"/>
  <c r="E414"/>
  <c r="D414"/>
  <c r="H413"/>
  <c r="E413"/>
  <c r="D413"/>
  <c r="H412"/>
  <c r="E412"/>
  <c r="D412"/>
  <c r="H411"/>
  <c r="E411"/>
  <c r="D411"/>
  <c r="H410"/>
  <c r="E410"/>
  <c r="D410"/>
  <c r="H409"/>
  <c r="E409"/>
  <c r="D409"/>
  <c r="D68"/>
  <c r="E68"/>
  <c r="H68"/>
  <c r="H16"/>
  <c r="H52"/>
  <c r="H23"/>
  <c r="H22"/>
  <c r="H21"/>
  <c r="H35"/>
  <c r="H15"/>
  <c r="H53"/>
  <c r="H18"/>
  <c r="H12"/>
  <c r="H25"/>
  <c r="H7"/>
  <c r="H60"/>
  <c r="H10"/>
  <c r="H43"/>
  <c r="H34"/>
  <c r="H46"/>
  <c r="H54"/>
  <c r="H51"/>
  <c r="H8"/>
  <c r="H49"/>
  <c r="H37"/>
  <c r="H27"/>
  <c r="H50"/>
  <c r="H30"/>
  <c r="H33"/>
  <c r="H38"/>
  <c r="H59"/>
  <c r="H11"/>
  <c r="H3"/>
  <c r="H20"/>
  <c r="H6"/>
  <c r="H4"/>
  <c r="H29"/>
  <c r="H17"/>
  <c r="H56"/>
  <c r="H31"/>
  <c r="H40"/>
  <c r="H24"/>
  <c r="H9"/>
  <c r="H14"/>
  <c r="H57"/>
  <c r="H41"/>
  <c r="H47"/>
  <c r="H45"/>
  <c r="H36"/>
  <c r="H5"/>
  <c r="H32"/>
  <c r="H58"/>
  <c r="H28"/>
  <c r="H39"/>
  <c r="H19"/>
  <c r="H13"/>
  <c r="H73"/>
  <c r="H74"/>
  <c r="H76"/>
  <c r="H75"/>
  <c r="H71"/>
  <c r="H70"/>
  <c r="H77"/>
  <c r="H72"/>
  <c r="H286"/>
  <c r="H91"/>
  <c r="H96"/>
  <c r="H90"/>
  <c r="H94"/>
  <c r="H92"/>
  <c r="H98"/>
  <c r="H89"/>
  <c r="H100"/>
  <c r="H88"/>
  <c r="H99"/>
  <c r="H95"/>
  <c r="H93"/>
  <c r="H97"/>
  <c r="H162"/>
  <c r="H156"/>
  <c r="H194"/>
  <c r="H132"/>
  <c r="H105"/>
  <c r="H196"/>
  <c r="H165"/>
  <c r="H144"/>
  <c r="H104"/>
  <c r="H193"/>
  <c r="H198"/>
  <c r="H120"/>
  <c r="H147"/>
  <c r="H130"/>
  <c r="H102"/>
  <c r="H154"/>
  <c r="H126"/>
  <c r="H125"/>
  <c r="H191"/>
  <c r="H204"/>
  <c r="H205"/>
  <c r="H199"/>
  <c r="H171"/>
  <c r="H116"/>
  <c r="H160"/>
  <c r="H106"/>
  <c r="H138"/>
  <c r="H141"/>
  <c r="H149"/>
  <c r="H207"/>
  <c r="H103"/>
  <c r="H168"/>
  <c r="H170"/>
  <c r="H146"/>
  <c r="H183"/>
  <c r="H200"/>
  <c r="H172"/>
  <c r="H118"/>
  <c r="H177"/>
  <c r="H181"/>
  <c r="H188"/>
  <c r="H139"/>
  <c r="H123"/>
  <c r="H115"/>
  <c r="H143"/>
  <c r="H209"/>
  <c r="H167"/>
  <c r="H187"/>
  <c r="H111"/>
  <c r="H175"/>
  <c r="H129"/>
  <c r="H122"/>
  <c r="H101"/>
  <c r="H186"/>
  <c r="H140"/>
  <c r="H169"/>
  <c r="H173"/>
  <c r="H189"/>
  <c r="H151"/>
  <c r="H112"/>
  <c r="H180"/>
  <c r="H163"/>
  <c r="H164"/>
  <c r="H142"/>
  <c r="H184"/>
  <c r="H110"/>
  <c r="H134"/>
  <c r="H203"/>
  <c r="H117"/>
  <c r="H206"/>
  <c r="H131"/>
  <c r="H197"/>
  <c r="H178"/>
  <c r="H127"/>
  <c r="H182"/>
  <c r="H121"/>
  <c r="H133"/>
  <c r="H185"/>
  <c r="H157"/>
  <c r="H161"/>
  <c r="H114"/>
  <c r="H201"/>
  <c r="H128"/>
  <c r="H108"/>
  <c r="H179"/>
  <c r="H136"/>
  <c r="H202"/>
  <c r="H158"/>
  <c r="H174"/>
  <c r="H159"/>
  <c r="H153"/>
  <c r="H190"/>
  <c r="H109"/>
  <c r="H208"/>
  <c r="H135"/>
  <c r="H166"/>
  <c r="H124"/>
  <c r="H113"/>
  <c r="H107"/>
  <c r="H195"/>
  <c r="H119"/>
  <c r="H155"/>
  <c r="H192"/>
  <c r="H137"/>
  <c r="H148"/>
  <c r="H150"/>
  <c r="H176"/>
  <c r="H152"/>
  <c r="H145"/>
  <c r="H237"/>
  <c r="H243"/>
  <c r="H238"/>
  <c r="H225"/>
  <c r="H232"/>
  <c r="H242"/>
  <c r="H228"/>
  <c r="H247"/>
  <c r="H223"/>
  <c r="H226"/>
  <c r="H229"/>
  <c r="H230"/>
  <c r="H244"/>
  <c r="H224"/>
  <c r="H222"/>
  <c r="H233"/>
  <c r="H239"/>
  <c r="H221"/>
  <c r="H246"/>
  <c r="H240"/>
  <c r="H227"/>
  <c r="H236"/>
  <c r="H241"/>
  <c r="H234"/>
  <c r="H245"/>
  <c r="H231"/>
  <c r="H235"/>
  <c r="H365"/>
  <c r="H371"/>
  <c r="H406"/>
  <c r="H396"/>
  <c r="H317"/>
  <c r="H343"/>
  <c r="H347"/>
  <c r="H304"/>
  <c r="H394"/>
  <c r="H386"/>
  <c r="H341"/>
  <c r="H390"/>
  <c r="H305"/>
  <c r="H391"/>
  <c r="H397"/>
  <c r="H370"/>
  <c r="H303"/>
  <c r="H350"/>
  <c r="H322"/>
  <c r="H361"/>
  <c r="H314"/>
  <c r="H388"/>
  <c r="H310"/>
  <c r="H312"/>
  <c r="H373"/>
  <c r="H311"/>
  <c r="H342"/>
  <c r="H395"/>
  <c r="H345"/>
  <c r="H327"/>
  <c r="H307"/>
  <c r="H320"/>
  <c r="H349"/>
  <c r="H315"/>
  <c r="H380"/>
  <c r="H356"/>
  <c r="H302"/>
  <c r="H332"/>
  <c r="H351"/>
  <c r="H357"/>
  <c r="H392"/>
  <c r="H298"/>
  <c r="H300"/>
  <c r="H407"/>
  <c r="H366"/>
  <c r="H339"/>
  <c r="H364"/>
  <c r="H372"/>
  <c r="H368"/>
  <c r="H353"/>
  <c r="H382"/>
  <c r="H387"/>
  <c r="H337"/>
  <c r="H377"/>
  <c r="H308"/>
  <c r="H346"/>
  <c r="H360"/>
  <c r="H316"/>
  <c r="H306"/>
  <c r="H399"/>
  <c r="H334"/>
  <c r="H402"/>
  <c r="H363"/>
  <c r="H354"/>
  <c r="H381"/>
  <c r="H383"/>
  <c r="H331"/>
  <c r="H378"/>
  <c r="H309"/>
  <c r="H330"/>
  <c r="H313"/>
  <c r="H321"/>
  <c r="H299"/>
  <c r="H375"/>
  <c r="H328"/>
  <c r="H367"/>
  <c r="H358"/>
  <c r="H408"/>
  <c r="H301"/>
  <c r="H405"/>
  <c r="H323"/>
  <c r="H355"/>
  <c r="H324"/>
  <c r="H400"/>
  <c r="H403"/>
  <c r="H389"/>
  <c r="H379"/>
  <c r="H340"/>
  <c r="H344"/>
  <c r="H352"/>
  <c r="H374"/>
  <c r="H319"/>
  <c r="H318"/>
  <c r="H336"/>
  <c r="H329"/>
  <c r="H398"/>
  <c r="H333"/>
  <c r="H348"/>
  <c r="H393"/>
  <c r="H385"/>
  <c r="H359"/>
  <c r="H326"/>
  <c r="H404"/>
  <c r="H376"/>
  <c r="H325"/>
  <c r="H362"/>
  <c r="H369"/>
  <c r="H384"/>
  <c r="H338"/>
  <c r="H335"/>
  <c r="H250"/>
  <c r="H264"/>
  <c r="H262"/>
  <c r="H268"/>
  <c r="H248"/>
  <c r="H251"/>
  <c r="H260"/>
  <c r="H258"/>
  <c r="H265"/>
  <c r="H255"/>
  <c r="H267"/>
  <c r="H266"/>
  <c r="H259"/>
  <c r="H257"/>
  <c r="H253"/>
  <c r="H269"/>
  <c r="H270"/>
  <c r="H263"/>
  <c r="H256"/>
  <c r="H249"/>
  <c r="H252"/>
  <c r="H254"/>
  <c r="H261"/>
  <c r="H429"/>
  <c r="H423"/>
  <c r="H55"/>
  <c r="H48"/>
  <c r="H42"/>
  <c r="H26"/>
  <c r="H61"/>
  <c r="H63"/>
  <c r="H62"/>
  <c r="H281"/>
  <c r="H282"/>
  <c r="H65"/>
  <c r="H64"/>
  <c r="H283"/>
  <c r="H67"/>
  <c r="H66"/>
  <c r="H285"/>
  <c r="H284"/>
  <c r="H87"/>
  <c r="H85"/>
  <c r="H86"/>
  <c r="H81"/>
  <c r="H80"/>
  <c r="H82"/>
  <c r="H83"/>
  <c r="H79"/>
  <c r="H84"/>
  <c r="H401"/>
  <c r="H419"/>
  <c r="H418"/>
  <c r="H69"/>
  <c r="H290"/>
  <c r="H289"/>
  <c r="H288"/>
  <c r="H287"/>
  <c r="H291"/>
  <c r="H297"/>
  <c r="H295"/>
  <c r="H296"/>
  <c r="H294"/>
  <c r="H293"/>
  <c r="H292"/>
  <c r="H422"/>
  <c r="H421"/>
  <c r="H420"/>
  <c r="H424"/>
  <c r="H426"/>
  <c r="H425"/>
  <c r="H427"/>
  <c r="H428"/>
  <c r="H272"/>
  <c r="H275"/>
  <c r="H273"/>
  <c r="H274"/>
  <c r="H433"/>
  <c r="H432"/>
  <c r="H434"/>
  <c r="H277"/>
  <c r="H276"/>
  <c r="H279"/>
  <c r="H280"/>
  <c r="H278"/>
  <c r="H44"/>
  <c r="A290" l="1"/>
  <c r="D290"/>
  <c r="E290"/>
  <c r="A175"/>
  <c r="D175"/>
  <c r="E175"/>
  <c r="A245"/>
  <c r="D245"/>
  <c r="E245"/>
  <c r="A409"/>
  <c r="D418"/>
  <c r="E418"/>
  <c r="A32"/>
  <c r="D32"/>
  <c r="E32"/>
  <c r="A10"/>
  <c r="D10"/>
  <c r="E10"/>
  <c r="A285"/>
  <c r="D285"/>
  <c r="E285"/>
  <c r="A280"/>
  <c r="D280"/>
  <c r="E280"/>
  <c r="A87"/>
  <c r="D87"/>
  <c r="E87"/>
  <c r="A105"/>
  <c r="D105"/>
  <c r="E105"/>
  <c r="A305"/>
  <c r="D305"/>
  <c r="E305"/>
  <c r="A360"/>
  <c r="D360"/>
  <c r="E360"/>
  <c r="A25"/>
  <c r="D25"/>
  <c r="E25"/>
  <c r="A257"/>
  <c r="D257"/>
  <c r="E257"/>
  <c r="A382"/>
  <c r="D382"/>
  <c r="E382"/>
  <c r="A413"/>
  <c r="D422"/>
  <c r="E422"/>
  <c r="A3"/>
  <c r="D3"/>
  <c r="E3"/>
  <c r="A350"/>
  <c r="D350"/>
  <c r="E350"/>
  <c r="A316"/>
  <c r="D316"/>
  <c r="E316"/>
  <c r="A227"/>
  <c r="D227"/>
  <c r="E227"/>
  <c r="A152"/>
  <c r="D152"/>
  <c r="E152"/>
  <c r="A107"/>
  <c r="D107"/>
  <c r="E107"/>
  <c r="A139"/>
  <c r="D139"/>
  <c r="E139"/>
  <c r="A76"/>
  <c r="D76"/>
  <c r="E76"/>
  <c r="A191"/>
  <c r="D191"/>
  <c r="E191"/>
  <c r="A366"/>
  <c r="D366"/>
  <c r="E366"/>
  <c r="A157"/>
  <c r="D157"/>
  <c r="E157"/>
  <c r="A232"/>
  <c r="D232"/>
  <c r="E232"/>
  <c r="A56"/>
  <c r="D56"/>
  <c r="E56"/>
  <c r="A196"/>
  <c r="D196"/>
  <c r="E196"/>
  <c r="A29"/>
  <c r="D29"/>
  <c r="E29"/>
  <c r="A253"/>
  <c r="D253"/>
  <c r="E253"/>
  <c r="A15"/>
  <c r="D15"/>
  <c r="E15"/>
  <c r="A189"/>
  <c r="D189"/>
  <c r="E189"/>
  <c r="A14"/>
  <c r="D14"/>
  <c r="E14"/>
  <c r="A62"/>
  <c r="D62"/>
  <c r="E62"/>
  <c r="A380"/>
  <c r="D380"/>
  <c r="E380"/>
  <c r="A379"/>
  <c r="D379"/>
  <c r="E379"/>
  <c r="A101"/>
  <c r="D101"/>
  <c r="E101"/>
  <c r="A99"/>
  <c r="D99"/>
  <c r="E99"/>
  <c r="A132"/>
  <c r="D132"/>
  <c r="E132"/>
  <c r="A284"/>
  <c r="D284"/>
  <c r="E284"/>
  <c r="A179"/>
  <c r="D179"/>
  <c r="E179"/>
  <c r="A164"/>
  <c r="D164"/>
  <c r="E164"/>
  <c r="A194"/>
  <c r="D194"/>
  <c r="E194"/>
  <c r="A243"/>
  <c r="D243"/>
  <c r="E243"/>
  <c r="A126"/>
  <c r="D126"/>
  <c r="E126"/>
  <c r="A248"/>
  <c r="D248"/>
  <c r="E248"/>
  <c r="A88"/>
  <c r="D88"/>
  <c r="E88"/>
  <c r="A47"/>
  <c r="D47"/>
  <c r="E47"/>
  <c r="A414"/>
  <c r="D423"/>
  <c r="E423"/>
  <c r="A75"/>
  <c r="D75"/>
  <c r="E75"/>
  <c r="A240"/>
  <c r="D240"/>
  <c r="E240"/>
  <c r="A158"/>
  <c r="D158"/>
  <c r="E158"/>
  <c r="A393"/>
  <c r="D393"/>
  <c r="E393"/>
  <c r="A159"/>
  <c r="D159"/>
  <c r="E159"/>
  <c r="A165"/>
  <c r="D165"/>
  <c r="E165"/>
  <c r="A412"/>
  <c r="D420"/>
  <c r="E420"/>
  <c r="A401"/>
  <c r="D401"/>
  <c r="E401"/>
  <c r="A265"/>
  <c r="D265"/>
  <c r="E265"/>
  <c r="A202"/>
  <c r="D202"/>
  <c r="E202"/>
  <c r="A41"/>
  <c r="D41"/>
  <c r="E41"/>
  <c r="A259"/>
  <c r="D259"/>
  <c r="E259"/>
  <c r="A103"/>
  <c r="D103"/>
  <c r="E103"/>
  <c r="A110"/>
  <c r="D110"/>
  <c r="E110"/>
  <c r="A172"/>
  <c r="D172"/>
  <c r="E172"/>
  <c r="A127"/>
  <c r="D127"/>
  <c r="E127"/>
  <c r="A299"/>
  <c r="D299"/>
  <c r="E299"/>
  <c r="A365"/>
  <c r="D365"/>
  <c r="E365"/>
  <c r="A108"/>
  <c r="D108"/>
  <c r="E108"/>
  <c r="A81"/>
  <c r="D81"/>
  <c r="E81"/>
  <c r="A241"/>
  <c r="D241"/>
  <c r="E241"/>
  <c r="A44"/>
  <c r="D44"/>
  <c r="E44"/>
  <c r="A135"/>
  <c r="D135"/>
  <c r="E135"/>
  <c r="A122"/>
  <c r="D122"/>
  <c r="E122"/>
  <c r="A225"/>
  <c r="D225"/>
  <c r="E225"/>
  <c r="A167"/>
  <c r="D167"/>
  <c r="E167"/>
  <c r="A314"/>
  <c r="D314"/>
  <c r="E314"/>
  <c r="A162"/>
  <c r="D162"/>
  <c r="E162"/>
  <c r="A95"/>
  <c r="D95"/>
  <c r="E95"/>
  <c r="A304"/>
  <c r="D304"/>
  <c r="E304"/>
  <c r="A42"/>
  <c r="D42"/>
  <c r="E42"/>
  <c r="A203"/>
  <c r="D203"/>
  <c r="E203"/>
  <c r="A344"/>
  <c r="D344"/>
  <c r="E344"/>
  <c r="A67"/>
  <c r="D67"/>
  <c r="E67"/>
  <c r="A345"/>
  <c r="D345"/>
  <c r="E345"/>
  <c r="A27"/>
  <c r="D27"/>
  <c r="E27"/>
  <c r="A288"/>
  <c r="D288"/>
  <c r="E288"/>
  <c r="A199"/>
  <c r="D199"/>
  <c r="E199"/>
  <c r="A114"/>
  <c r="D114"/>
  <c r="E114"/>
  <c r="A349"/>
  <c r="D349"/>
  <c r="E349"/>
  <c r="A298"/>
  <c r="D298"/>
  <c r="E298"/>
  <c r="A31"/>
  <c r="D31"/>
  <c r="E31"/>
  <c r="A198"/>
  <c r="D198"/>
  <c r="E198"/>
  <c r="A9"/>
  <c r="D9"/>
  <c r="E9"/>
  <c r="A406"/>
  <c r="D406"/>
  <c r="E406"/>
  <c r="A128"/>
  <c r="D128"/>
  <c r="E128"/>
  <c r="A124"/>
  <c r="D124"/>
  <c r="E124"/>
  <c r="A238"/>
  <c r="D238"/>
  <c r="E238"/>
  <c r="A90"/>
  <c r="D90"/>
  <c r="E90"/>
  <c r="A262"/>
  <c r="D262"/>
  <c r="E262"/>
  <c r="A23"/>
  <c r="D23"/>
  <c r="E23"/>
  <c r="A136"/>
  <c r="D136"/>
  <c r="E136"/>
  <c r="A61"/>
  <c r="D61"/>
  <c r="E61"/>
  <c r="A74"/>
  <c r="D74"/>
  <c r="E74"/>
  <c r="A17"/>
  <c r="D17"/>
  <c r="E17"/>
  <c r="A250"/>
  <c r="D250"/>
  <c r="E250"/>
  <c r="A297"/>
  <c r="D297"/>
  <c r="E297"/>
  <c r="A362"/>
  <c r="D362"/>
  <c r="E362"/>
  <c r="A30"/>
  <c r="D30"/>
  <c r="E30"/>
  <c r="A226"/>
  <c r="D226"/>
  <c r="E226"/>
  <c r="A326"/>
  <c r="D326"/>
  <c r="E326"/>
  <c r="A70"/>
  <c r="D70"/>
  <c r="E70"/>
  <c r="A39"/>
  <c r="D39"/>
  <c r="E39"/>
  <c r="A186"/>
  <c r="D186"/>
  <c r="E186"/>
  <c r="A26"/>
  <c r="D26"/>
  <c r="E26"/>
  <c r="A53"/>
  <c r="D53"/>
  <c r="E53"/>
  <c r="A131"/>
  <c r="D131"/>
  <c r="E131"/>
  <c r="A163"/>
  <c r="D163"/>
  <c r="E163"/>
  <c r="A117"/>
  <c r="D117"/>
  <c r="E117"/>
  <c r="A98"/>
  <c r="D98"/>
  <c r="E98"/>
  <c r="A109"/>
  <c r="D109"/>
  <c r="E109"/>
  <c r="A263"/>
  <c r="D263"/>
  <c r="E263"/>
  <c r="A231"/>
  <c r="D231"/>
  <c r="E231"/>
  <c r="A154"/>
  <c r="D154"/>
  <c r="E154"/>
  <c r="A385"/>
  <c r="D385"/>
  <c r="E385"/>
  <c r="A35"/>
  <c r="D35"/>
  <c r="E35"/>
  <c r="A177"/>
  <c r="D177"/>
  <c r="E177"/>
  <c r="A260"/>
  <c r="D260"/>
  <c r="E260"/>
  <c r="A236"/>
  <c r="D236"/>
  <c r="E236"/>
  <c r="A205"/>
  <c r="D205"/>
  <c r="E205"/>
  <c r="A45"/>
  <c r="D45"/>
  <c r="E45"/>
  <c r="A295"/>
  <c r="D295"/>
  <c r="E295"/>
  <c r="A28"/>
  <c r="D28"/>
  <c r="E28"/>
  <c r="A291"/>
  <c r="D291"/>
  <c r="E291"/>
  <c r="A294"/>
  <c r="D294"/>
  <c r="E294"/>
  <c r="A391"/>
  <c r="D391"/>
  <c r="E391"/>
  <c r="A130"/>
  <c r="D130"/>
  <c r="E130"/>
  <c r="A111"/>
  <c r="D111"/>
  <c r="E111"/>
  <c r="A77"/>
  <c r="D77"/>
  <c r="E77"/>
  <c r="A376"/>
  <c r="D376"/>
  <c r="E376"/>
  <c r="A92"/>
  <c r="D92"/>
  <c r="E92"/>
  <c r="A244"/>
  <c r="D244"/>
  <c r="E244"/>
  <c r="A223"/>
  <c r="D223"/>
  <c r="E223"/>
  <c r="A353"/>
  <c r="D353"/>
  <c r="E353"/>
  <c r="A274"/>
  <c r="D274"/>
  <c r="E274"/>
  <c r="A283"/>
  <c r="D283"/>
  <c r="E283"/>
  <c r="A184"/>
  <c r="D184"/>
  <c r="E184"/>
  <c r="A183"/>
  <c r="D183"/>
  <c r="E183"/>
  <c r="A6"/>
  <c r="D6"/>
  <c r="E6"/>
  <c r="A46"/>
  <c r="D46"/>
  <c r="E46"/>
  <c r="A96"/>
  <c r="D96"/>
  <c r="E96"/>
  <c r="A400"/>
  <c r="D400"/>
  <c r="E400"/>
  <c r="A22"/>
  <c r="D22"/>
  <c r="E22"/>
  <c r="A368"/>
  <c r="D368"/>
  <c r="E368"/>
  <c r="A417"/>
  <c r="D426"/>
  <c r="E426"/>
  <c r="A142"/>
  <c r="D142"/>
  <c r="E142"/>
  <c r="A372"/>
  <c r="D372"/>
  <c r="E372"/>
  <c r="A125"/>
  <c r="D125"/>
  <c r="E125"/>
  <c r="A337"/>
  <c r="D337"/>
  <c r="E337"/>
  <c r="A318"/>
  <c r="D318"/>
  <c r="E318"/>
  <c r="A80"/>
  <c r="D80"/>
  <c r="E80"/>
  <c r="A153"/>
  <c r="D153"/>
  <c r="E153"/>
  <c r="A383"/>
  <c r="D383"/>
  <c r="E383"/>
  <c r="A190"/>
  <c r="D190"/>
  <c r="E190"/>
  <c r="A381"/>
  <c r="D381"/>
  <c r="E381"/>
  <c r="A308"/>
  <c r="D308"/>
  <c r="E308"/>
  <c r="A268"/>
  <c r="D268"/>
  <c r="E268"/>
  <c r="A52"/>
  <c r="D52"/>
  <c r="E52"/>
  <c r="A405"/>
  <c r="D405"/>
  <c r="E405"/>
  <c r="A341"/>
  <c r="D341"/>
  <c r="E341"/>
  <c r="A102"/>
  <c r="D102"/>
  <c r="E102"/>
  <c r="A336"/>
  <c r="D336"/>
  <c r="E336"/>
  <c r="A347"/>
  <c r="D347"/>
  <c r="E347"/>
  <c r="A134"/>
  <c r="D134"/>
  <c r="E134"/>
  <c r="A185"/>
  <c r="D185"/>
  <c r="E185"/>
  <c r="A66"/>
  <c r="D66"/>
  <c r="E66"/>
  <c r="A411"/>
  <c r="A89"/>
  <c r="D89"/>
  <c r="E89"/>
  <c r="A275"/>
  <c r="D275"/>
  <c r="E275"/>
  <c r="A321"/>
  <c r="D321"/>
  <c r="E321"/>
  <c r="A384"/>
  <c r="D384"/>
  <c r="E384"/>
  <c r="A150"/>
  <c r="D150"/>
  <c r="E150"/>
  <c r="A332"/>
  <c r="D332"/>
  <c r="E332"/>
  <c r="A373"/>
  <c r="D373"/>
  <c r="E373"/>
  <c r="A104"/>
  <c r="D104"/>
  <c r="E104"/>
  <c r="A115"/>
  <c r="D115"/>
  <c r="E115"/>
  <c r="A266"/>
  <c r="D266"/>
  <c r="E266"/>
  <c r="A423"/>
  <c r="D434"/>
  <c r="E434"/>
  <c r="A317"/>
  <c r="D317"/>
  <c r="E317"/>
  <c r="A255"/>
  <c r="D255"/>
  <c r="E255"/>
  <c r="A86"/>
  <c r="D86"/>
  <c r="E86"/>
  <c r="A200"/>
  <c r="D200"/>
  <c r="E200"/>
  <c r="A69"/>
  <c r="D69"/>
  <c r="E69"/>
  <c r="A84"/>
  <c r="D84"/>
  <c r="E84"/>
  <c r="A359"/>
  <c r="D359"/>
  <c r="E359"/>
  <c r="A121"/>
  <c r="D121"/>
  <c r="E121"/>
  <c r="A118"/>
  <c r="D118"/>
  <c r="E118"/>
  <c r="A310"/>
  <c r="D310"/>
  <c r="E310"/>
  <c r="A94"/>
  <c r="D94"/>
  <c r="E94"/>
  <c r="A55"/>
  <c r="D55"/>
  <c r="E55"/>
  <c r="A137"/>
  <c r="D137"/>
  <c r="E137"/>
  <c r="A404"/>
  <c r="D404"/>
  <c r="E404"/>
  <c r="A149"/>
  <c r="D149"/>
  <c r="E149"/>
  <c r="A83"/>
  <c r="D83"/>
  <c r="E83"/>
  <c r="A160"/>
  <c r="D160"/>
  <c r="E160"/>
  <c r="A91"/>
  <c r="D91"/>
  <c r="E91"/>
  <c r="A192"/>
  <c r="D192"/>
  <c r="E192"/>
  <c r="A60"/>
  <c r="D60"/>
  <c r="E60"/>
  <c r="A180"/>
  <c r="D180"/>
  <c r="E180"/>
  <c r="A289"/>
  <c r="D289"/>
  <c r="E289"/>
  <c r="A356"/>
  <c r="D356"/>
  <c r="E356"/>
  <c r="A68"/>
  <c r="A71"/>
  <c r="D71"/>
  <c r="E71"/>
  <c r="A355"/>
  <c r="D355"/>
  <c r="E355"/>
  <c r="A269"/>
  <c r="D269"/>
  <c r="E269"/>
  <c r="A173"/>
  <c r="D173"/>
  <c r="E173"/>
  <c r="A37"/>
  <c r="D37"/>
  <c r="E37"/>
  <c r="A364"/>
  <c r="D364"/>
  <c r="E364"/>
  <c r="A113"/>
  <c r="D113"/>
  <c r="E113"/>
  <c r="A287"/>
  <c r="D287"/>
  <c r="E287"/>
  <c r="A367"/>
  <c r="D367"/>
  <c r="E367"/>
  <c r="A36"/>
  <c r="D36"/>
  <c r="E36"/>
  <c r="A264"/>
  <c r="D264"/>
  <c r="E264"/>
  <c r="A63"/>
  <c r="D63"/>
  <c r="E63"/>
  <c r="A371"/>
  <c r="D371"/>
  <c r="E371"/>
  <c r="A72"/>
  <c r="D72"/>
  <c r="E72"/>
  <c r="A195"/>
  <c r="D195"/>
  <c r="E195"/>
  <c r="A43"/>
  <c r="D43"/>
  <c r="E43"/>
  <c r="A116"/>
  <c r="D116"/>
  <c r="E116"/>
  <c r="A97"/>
  <c r="D97"/>
  <c r="E97"/>
  <c r="A8"/>
  <c r="D8"/>
  <c r="E8"/>
  <c r="A278"/>
  <c r="D278"/>
  <c r="E278"/>
  <c r="A416"/>
  <c r="D425"/>
  <c r="E425"/>
  <c r="A174"/>
  <c r="D174"/>
  <c r="E174"/>
  <c r="A322"/>
  <c r="D322"/>
  <c r="E322"/>
  <c r="A408"/>
  <c r="D408"/>
  <c r="E408"/>
  <c r="A286"/>
  <c r="D286"/>
  <c r="E286"/>
  <c r="A363"/>
  <c r="D363"/>
  <c r="E363"/>
  <c r="A11"/>
  <c r="D11"/>
  <c r="E11"/>
  <c r="A73"/>
  <c r="D73"/>
  <c r="E73"/>
  <c r="A229"/>
  <c r="D229"/>
  <c r="E229"/>
  <c r="A106"/>
  <c r="D106"/>
  <c r="E106"/>
  <c r="A120"/>
  <c r="D120"/>
  <c r="E120"/>
  <c r="A166"/>
  <c r="D166"/>
  <c r="E166"/>
  <c r="A57"/>
  <c r="D57"/>
  <c r="E57"/>
  <c r="A5"/>
  <c r="D5"/>
  <c r="E5"/>
  <c r="A129"/>
  <c r="D129"/>
  <c r="E129"/>
  <c r="A374"/>
  <c r="D374"/>
  <c r="E374"/>
  <c r="A155"/>
  <c r="D155"/>
  <c r="E155"/>
  <c r="A188"/>
  <c r="D188"/>
  <c r="E188"/>
  <c r="A93"/>
  <c r="D93"/>
  <c r="E93"/>
  <c r="A339"/>
  <c r="D339"/>
  <c r="E339"/>
  <c r="A242"/>
  <c r="D242"/>
  <c r="E242"/>
  <c r="A323"/>
  <c r="D323"/>
  <c r="E323"/>
  <c r="A79"/>
  <c r="D79"/>
  <c r="E79"/>
  <c r="A403"/>
  <c r="D403"/>
  <c r="E403"/>
  <c r="A331"/>
  <c r="D331"/>
  <c r="E331"/>
  <c r="A399"/>
  <c r="D399"/>
  <c r="E399"/>
  <c r="A204"/>
  <c r="D204"/>
  <c r="E204"/>
  <c r="A21"/>
  <c r="D21"/>
  <c r="E21"/>
  <c r="A100"/>
  <c r="D100"/>
  <c r="E100"/>
  <c r="A20"/>
  <c r="D20"/>
  <c r="E20"/>
  <c r="A402"/>
  <c r="D402"/>
  <c r="E402"/>
  <c r="A333"/>
  <c r="D333"/>
  <c r="E333"/>
  <c r="A138"/>
  <c r="D138"/>
  <c r="E138"/>
  <c r="A208"/>
  <c r="D208"/>
  <c r="E208"/>
  <c r="A123"/>
  <c r="D123"/>
  <c r="E123"/>
  <c r="A82"/>
  <c r="D82"/>
  <c r="E82"/>
  <c r="A386"/>
  <c r="D386"/>
  <c r="E386"/>
  <c r="A410"/>
  <c r="D419"/>
  <c r="E419"/>
  <c r="A112"/>
  <c r="D112"/>
  <c r="E112"/>
  <c r="A235"/>
  <c r="D235"/>
  <c r="E235"/>
  <c r="A206"/>
  <c r="D206"/>
  <c r="E206"/>
  <c r="A40"/>
  <c r="D40"/>
  <c r="E40"/>
  <c r="A378"/>
  <c r="D378"/>
  <c r="E378"/>
  <c r="A222"/>
  <c r="D222"/>
  <c r="E222"/>
  <c r="A420"/>
  <c r="D429"/>
  <c r="E429"/>
  <c r="A193"/>
  <c r="D193"/>
  <c r="E193"/>
  <c r="A267"/>
  <c r="D267"/>
  <c r="E267"/>
  <c r="A251"/>
  <c r="D251"/>
  <c r="E251"/>
  <c r="A340"/>
  <c r="D340"/>
  <c r="E340"/>
  <c r="A351"/>
  <c r="D351"/>
  <c r="E351"/>
  <c r="A276"/>
  <c r="D276"/>
  <c r="E276"/>
  <c r="A334"/>
  <c r="D334"/>
  <c r="E334"/>
  <c r="A281"/>
  <c r="D281"/>
  <c r="E281"/>
  <c r="A296"/>
  <c r="D296"/>
  <c r="E296"/>
  <c r="A148"/>
  <c r="D148"/>
  <c r="E148"/>
  <c r="A7"/>
  <c r="D7"/>
  <c r="E7"/>
  <c r="A182"/>
  <c r="D182"/>
  <c r="E182"/>
  <c r="A141"/>
  <c r="D141"/>
  <c r="E141"/>
  <c r="A369"/>
  <c r="D369"/>
  <c r="E369"/>
  <c r="A156"/>
  <c r="D156"/>
  <c r="E156"/>
  <c r="A146"/>
  <c r="D146"/>
  <c r="E146"/>
  <c r="A370"/>
  <c r="D370"/>
  <c r="E370"/>
  <c r="A395"/>
  <c r="D395"/>
  <c r="E395"/>
  <c r="A312"/>
  <c r="D312"/>
  <c r="E312"/>
  <c r="A58"/>
  <c r="D58"/>
  <c r="E58"/>
  <c r="A143"/>
  <c r="D143"/>
  <c r="E143"/>
  <c r="A390"/>
  <c r="D390"/>
  <c r="E390"/>
  <c r="A133"/>
  <c r="D133"/>
  <c r="E133"/>
  <c r="A239"/>
  <c r="D239"/>
  <c r="E239"/>
  <c r="A170"/>
  <c r="D170"/>
  <c r="E170"/>
  <c r="A65"/>
  <c r="D65"/>
  <c r="E65"/>
  <c r="A221"/>
  <c r="D221"/>
  <c r="E221"/>
  <c r="A209"/>
  <c r="D209"/>
  <c r="E209"/>
  <c r="A315"/>
  <c r="D315"/>
  <c r="E315"/>
  <c r="A407"/>
  <c r="D407"/>
  <c r="E407"/>
  <c r="A13"/>
  <c r="D13"/>
  <c r="E13"/>
  <c r="A54"/>
  <c r="D54"/>
  <c r="E54"/>
  <c r="A330"/>
  <c r="D330"/>
  <c r="E330"/>
  <c r="A311"/>
  <c r="D311"/>
  <c r="E311"/>
  <c r="A419"/>
  <c r="D428"/>
  <c r="E428"/>
  <c r="A361"/>
  <c r="D361"/>
  <c r="E361"/>
  <c r="A300"/>
  <c r="D300"/>
  <c r="E300"/>
  <c r="A18"/>
  <c r="D18"/>
  <c r="E18"/>
  <c r="A85"/>
  <c r="D85"/>
  <c r="E85"/>
  <c r="A49"/>
  <c r="D49"/>
  <c r="E49"/>
  <c r="A171"/>
  <c r="D171"/>
  <c r="E171"/>
  <c r="A327"/>
  <c r="D327"/>
  <c r="E327"/>
  <c r="A178"/>
  <c r="D178"/>
  <c r="E178"/>
  <c r="A228"/>
  <c r="D228"/>
  <c r="E228"/>
  <c r="A320"/>
  <c r="D320"/>
  <c r="E320"/>
  <c r="A301"/>
  <c r="D301"/>
  <c r="E301"/>
  <c r="A293"/>
  <c r="D293"/>
  <c r="E293"/>
  <c r="A147"/>
  <c r="D147"/>
  <c r="E147"/>
  <c r="A234"/>
  <c r="D234"/>
  <c r="E234"/>
  <c r="A187"/>
  <c r="D187"/>
  <c r="E187"/>
  <c r="A233"/>
  <c r="D233"/>
  <c r="E233"/>
  <c r="A169"/>
  <c r="D169"/>
  <c r="E169"/>
  <c r="A4"/>
  <c r="D4"/>
  <c r="E4"/>
  <c r="A346"/>
  <c r="D346"/>
  <c r="E346"/>
  <c r="A309"/>
  <c r="D309"/>
  <c r="E309"/>
  <c r="A151"/>
  <c r="D151"/>
  <c r="E151"/>
  <c r="A261"/>
  <c r="D261"/>
  <c r="E261"/>
  <c r="A387"/>
  <c r="D387"/>
  <c r="E387"/>
  <c r="A140"/>
  <c r="D140"/>
  <c r="E140"/>
  <c r="A277"/>
  <c r="D277"/>
  <c r="E277"/>
  <c r="A247"/>
  <c r="D247"/>
  <c r="E247"/>
  <c r="A64"/>
  <c r="D64"/>
  <c r="E64"/>
  <c r="A303"/>
  <c r="D303"/>
  <c r="E303"/>
  <c r="A392"/>
  <c r="D392"/>
  <c r="E392"/>
  <c r="A181"/>
  <c r="D181"/>
  <c r="E181"/>
  <c r="A279"/>
  <c r="D279"/>
  <c r="E279"/>
  <c r="D421"/>
  <c r="E421"/>
  <c r="A48"/>
  <c r="D48"/>
  <c r="E48"/>
  <c r="A224"/>
  <c r="D224"/>
  <c r="E224"/>
  <c r="A325"/>
  <c r="D325"/>
  <c r="E325"/>
  <c r="A398"/>
  <c r="D398"/>
  <c r="E398"/>
  <c r="A50"/>
  <c r="D50"/>
  <c r="E50"/>
  <c r="A254"/>
  <c r="D254"/>
  <c r="E254"/>
  <c r="A258"/>
  <c r="D258"/>
  <c r="E258"/>
  <c r="A272"/>
  <c r="D272"/>
  <c r="E272"/>
  <c r="A161"/>
  <c r="D161"/>
  <c r="E161"/>
  <c r="A246"/>
  <c r="D246"/>
  <c r="E246"/>
  <c r="A252"/>
  <c r="D252"/>
  <c r="E252"/>
  <c r="A230"/>
  <c r="D230"/>
  <c r="E230"/>
  <c r="A176"/>
  <c r="D176"/>
  <c r="E176"/>
  <c r="A328"/>
  <c r="D328"/>
  <c r="E328"/>
  <c r="A335"/>
  <c r="D335"/>
  <c r="E335"/>
  <c r="A59"/>
  <c r="D59"/>
  <c r="E59"/>
  <c r="A51"/>
  <c r="D51"/>
  <c r="E51"/>
  <c r="A319"/>
  <c r="D319"/>
  <c r="E319"/>
  <c r="A197"/>
  <c r="D197"/>
  <c r="E197"/>
  <c r="A16"/>
  <c r="D16"/>
  <c r="E16"/>
  <c r="A358"/>
  <c r="D358"/>
  <c r="E358"/>
  <c r="A168"/>
  <c r="D168"/>
  <c r="E168"/>
  <c r="A343"/>
  <c r="D343"/>
  <c r="E343"/>
  <c r="A389"/>
  <c r="D389"/>
  <c r="E389"/>
  <c r="A329"/>
  <c r="D329"/>
  <c r="E329"/>
  <c r="A249"/>
  <c r="D249"/>
  <c r="E249"/>
  <c r="A38"/>
  <c r="D38"/>
  <c r="E38"/>
  <c r="A396"/>
  <c r="D396"/>
  <c r="E396"/>
  <c r="A207"/>
  <c r="D207"/>
  <c r="E207"/>
  <c r="A119"/>
  <c r="D119"/>
  <c r="E119"/>
  <c r="A33"/>
  <c r="D33"/>
  <c r="E33"/>
  <c r="A256"/>
  <c r="D256"/>
  <c r="E256"/>
  <c r="A306"/>
  <c r="D306"/>
  <c r="E306"/>
  <c r="A348"/>
  <c r="D348"/>
  <c r="E348"/>
  <c r="A418"/>
  <c r="D427"/>
  <c r="E427"/>
  <c r="A354"/>
  <c r="D354"/>
  <c r="E354"/>
  <c r="A270"/>
  <c r="D270"/>
  <c r="E270"/>
  <c r="A338"/>
  <c r="D338"/>
  <c r="E338"/>
  <c r="A302"/>
  <c r="D302"/>
  <c r="E302"/>
  <c r="A388"/>
  <c r="D388"/>
  <c r="E388"/>
  <c r="A144"/>
  <c r="D144"/>
  <c r="E144"/>
  <c r="A273"/>
  <c r="D273"/>
  <c r="E273"/>
  <c r="A12"/>
  <c r="D12"/>
  <c r="E12"/>
  <c r="A357"/>
  <c r="D357"/>
  <c r="E357"/>
  <c r="A377"/>
  <c r="D377"/>
  <c r="E377"/>
  <c r="A237"/>
  <c r="D237"/>
  <c r="E237"/>
  <c r="A394"/>
  <c r="D394"/>
  <c r="E394"/>
  <c r="A307"/>
  <c r="D307"/>
  <c r="E307"/>
  <c r="A352"/>
  <c r="D352"/>
  <c r="E352"/>
  <c r="A201"/>
  <c r="D201"/>
  <c r="E201"/>
  <c r="A342"/>
  <c r="D342"/>
  <c r="E342"/>
  <c r="A422"/>
  <c r="D433"/>
  <c r="E433"/>
  <c r="A313"/>
  <c r="D313"/>
  <c r="E313"/>
  <c r="A292"/>
  <c r="D292"/>
  <c r="E292"/>
  <c r="A397"/>
  <c r="D397"/>
  <c r="E397"/>
  <c r="A34"/>
  <c r="D34"/>
  <c r="E34"/>
  <c r="A19"/>
  <c r="D19"/>
  <c r="E19"/>
  <c r="A415"/>
  <c r="D424"/>
  <c r="E424"/>
  <c r="A421"/>
  <c r="D432"/>
  <c r="E432"/>
  <c r="A145"/>
  <c r="D145"/>
  <c r="E145"/>
  <c r="A324"/>
  <c r="D324"/>
  <c r="E324"/>
  <c r="A375"/>
  <c r="D375"/>
  <c r="E375"/>
  <c r="A24"/>
  <c r="D24"/>
  <c r="E24"/>
  <c r="A282"/>
  <c r="D282"/>
  <c r="E282"/>
</calcChain>
</file>

<file path=xl/sharedStrings.xml><?xml version="1.0" encoding="utf-8"?>
<sst xmlns="http://schemas.openxmlformats.org/spreadsheetml/2006/main" count="467" uniqueCount="59">
  <si>
    <r>
      <rPr>
        <sz val="12"/>
        <rFont val="宋体"/>
        <family val="3"/>
        <charset val="134"/>
      </rPr>
      <t>报考号</t>
    </r>
  </si>
  <si>
    <t>公共基础知识成绩</t>
    <phoneticPr fontId="1" type="noConversion"/>
  </si>
  <si>
    <r>
      <rPr>
        <b/>
        <sz val="11"/>
        <color theme="1"/>
        <rFont val="宋体"/>
        <family val="3"/>
        <charset val="134"/>
      </rPr>
      <t>专业知识成绩</t>
    </r>
  </si>
  <si>
    <r>
      <t>180012_</t>
    </r>
    <r>
      <rPr>
        <sz val="11"/>
        <color theme="1"/>
        <rFont val="宋体"/>
        <family val="3"/>
        <charset val="134"/>
      </rPr>
      <t>专业技术</t>
    </r>
  </si>
  <si>
    <r>
      <t>180017_</t>
    </r>
    <r>
      <rPr>
        <sz val="11"/>
        <color theme="1"/>
        <rFont val="宋体"/>
        <family val="3"/>
        <charset val="134"/>
      </rPr>
      <t>专业技术</t>
    </r>
  </si>
  <si>
    <r>
      <t>180023_</t>
    </r>
    <r>
      <rPr>
        <sz val="11"/>
        <color theme="1"/>
        <rFont val="宋体"/>
        <family val="3"/>
        <charset val="134"/>
      </rPr>
      <t>专业技术</t>
    </r>
  </si>
  <si>
    <r>
      <t>180024_</t>
    </r>
    <r>
      <rPr>
        <sz val="11"/>
        <color theme="1"/>
        <rFont val="宋体"/>
        <family val="3"/>
        <charset val="134"/>
      </rPr>
      <t>专业技术</t>
    </r>
  </si>
  <si>
    <r>
      <t>180025_</t>
    </r>
    <r>
      <rPr>
        <sz val="11"/>
        <color theme="1"/>
        <rFont val="宋体"/>
        <family val="3"/>
        <charset val="134"/>
      </rPr>
      <t>专业技术</t>
    </r>
  </si>
  <si>
    <r>
      <t>180027_</t>
    </r>
    <r>
      <rPr>
        <sz val="11"/>
        <color theme="1"/>
        <rFont val="宋体"/>
        <family val="3"/>
        <charset val="134"/>
      </rPr>
      <t>专业技术</t>
    </r>
  </si>
  <si>
    <r>
      <t>180028_</t>
    </r>
    <r>
      <rPr>
        <sz val="11"/>
        <color theme="1"/>
        <rFont val="宋体"/>
        <family val="3"/>
        <charset val="134"/>
      </rPr>
      <t>专业技术</t>
    </r>
  </si>
  <si>
    <r>
      <t>180029_</t>
    </r>
    <r>
      <rPr>
        <sz val="11"/>
        <color theme="1"/>
        <rFont val="宋体"/>
        <family val="3"/>
        <charset val="134"/>
      </rPr>
      <t>专业技术</t>
    </r>
  </si>
  <si>
    <r>
      <t>180030_</t>
    </r>
    <r>
      <rPr>
        <sz val="11"/>
        <color theme="1"/>
        <rFont val="宋体"/>
        <family val="3"/>
        <charset val="134"/>
      </rPr>
      <t>专业技术</t>
    </r>
  </si>
  <si>
    <r>
      <t>180032_</t>
    </r>
    <r>
      <rPr>
        <sz val="11"/>
        <color theme="1"/>
        <rFont val="宋体"/>
        <family val="3"/>
        <charset val="134"/>
      </rPr>
      <t>专业技术</t>
    </r>
  </si>
  <si>
    <r>
      <t>180034_</t>
    </r>
    <r>
      <rPr>
        <sz val="11"/>
        <color theme="1"/>
        <rFont val="宋体"/>
        <family val="3"/>
        <charset val="134"/>
      </rPr>
      <t>专业技术</t>
    </r>
  </si>
  <si>
    <r>
      <t>180035_</t>
    </r>
    <r>
      <rPr>
        <sz val="11"/>
        <color theme="1"/>
        <rFont val="宋体"/>
        <family val="3"/>
        <charset val="134"/>
      </rPr>
      <t>专业技术</t>
    </r>
  </si>
  <si>
    <r>
      <t>180036_</t>
    </r>
    <r>
      <rPr>
        <sz val="11"/>
        <color theme="1"/>
        <rFont val="宋体"/>
        <family val="3"/>
        <charset val="134"/>
      </rPr>
      <t>专业技术</t>
    </r>
  </si>
  <si>
    <r>
      <t>180039_</t>
    </r>
    <r>
      <rPr>
        <sz val="11"/>
        <color theme="1"/>
        <rFont val="宋体"/>
        <family val="3"/>
        <charset val="134"/>
      </rPr>
      <t>专业技术</t>
    </r>
  </si>
  <si>
    <r>
      <t>180040_</t>
    </r>
    <r>
      <rPr>
        <sz val="11"/>
        <color theme="1"/>
        <rFont val="宋体"/>
        <family val="3"/>
        <charset val="134"/>
      </rPr>
      <t>专业技术</t>
    </r>
  </si>
  <si>
    <r>
      <t>180041_</t>
    </r>
    <r>
      <rPr>
        <sz val="11"/>
        <color theme="1"/>
        <rFont val="宋体"/>
        <family val="3"/>
        <charset val="134"/>
      </rPr>
      <t>专业技术</t>
    </r>
  </si>
  <si>
    <r>
      <t>180056_</t>
    </r>
    <r>
      <rPr>
        <sz val="11"/>
        <color theme="1"/>
        <rFont val="宋体"/>
        <family val="3"/>
        <charset val="134"/>
      </rPr>
      <t>专业技术</t>
    </r>
  </si>
  <si>
    <r>
      <t>180058_</t>
    </r>
    <r>
      <rPr>
        <sz val="11"/>
        <color theme="1"/>
        <rFont val="宋体"/>
        <family val="3"/>
        <charset val="134"/>
      </rPr>
      <t>专业技术</t>
    </r>
  </si>
  <si>
    <r>
      <t>180061_</t>
    </r>
    <r>
      <rPr>
        <sz val="11"/>
        <color theme="1"/>
        <rFont val="宋体"/>
        <family val="3"/>
        <charset val="134"/>
      </rPr>
      <t>专业技术</t>
    </r>
  </si>
  <si>
    <r>
      <t>180062_</t>
    </r>
    <r>
      <rPr>
        <sz val="11"/>
        <color theme="1"/>
        <rFont val="宋体"/>
        <family val="3"/>
        <charset val="134"/>
      </rPr>
      <t>专业技术</t>
    </r>
  </si>
  <si>
    <r>
      <t>180065_</t>
    </r>
    <r>
      <rPr>
        <sz val="11"/>
        <color theme="1"/>
        <rFont val="宋体"/>
        <family val="3"/>
        <charset val="134"/>
      </rPr>
      <t>专业技术</t>
    </r>
  </si>
  <si>
    <r>
      <t>180066_</t>
    </r>
    <r>
      <rPr>
        <sz val="11"/>
        <color theme="1"/>
        <rFont val="宋体"/>
        <family val="3"/>
        <charset val="134"/>
      </rPr>
      <t>专业技术</t>
    </r>
  </si>
  <si>
    <r>
      <t>180069_</t>
    </r>
    <r>
      <rPr>
        <sz val="11"/>
        <color theme="1"/>
        <rFont val="宋体"/>
        <family val="3"/>
        <charset val="134"/>
      </rPr>
      <t>专业技术</t>
    </r>
  </si>
  <si>
    <r>
      <t>180070_</t>
    </r>
    <r>
      <rPr>
        <sz val="11"/>
        <color theme="1"/>
        <rFont val="宋体"/>
        <family val="3"/>
        <charset val="134"/>
      </rPr>
      <t>专业技术</t>
    </r>
  </si>
  <si>
    <r>
      <t>180071_</t>
    </r>
    <r>
      <rPr>
        <sz val="11"/>
        <color theme="1"/>
        <rFont val="宋体"/>
        <family val="3"/>
        <charset val="134"/>
      </rPr>
      <t>专业技术</t>
    </r>
  </si>
  <si>
    <r>
      <t>180072_</t>
    </r>
    <r>
      <rPr>
        <sz val="11"/>
        <color theme="1"/>
        <rFont val="宋体"/>
        <family val="3"/>
        <charset val="134"/>
      </rPr>
      <t>专业技术</t>
    </r>
  </si>
  <si>
    <r>
      <t>180074_</t>
    </r>
    <r>
      <rPr>
        <sz val="11"/>
        <color theme="1"/>
        <rFont val="宋体"/>
        <family val="3"/>
        <charset val="134"/>
      </rPr>
      <t>专业技术</t>
    </r>
  </si>
  <si>
    <r>
      <rPr>
        <b/>
        <sz val="11"/>
        <color theme="1"/>
        <rFont val="宋体"/>
        <family val="3"/>
        <charset val="134"/>
      </rPr>
      <t>报考岗位</t>
    </r>
  </si>
  <si>
    <r>
      <rPr>
        <b/>
        <sz val="11"/>
        <color theme="1"/>
        <rFont val="宋体"/>
        <family val="3"/>
        <charset val="134"/>
      </rPr>
      <t>所学专业</t>
    </r>
  </si>
  <si>
    <r>
      <rPr>
        <b/>
        <sz val="11"/>
        <color theme="1"/>
        <rFont val="宋体"/>
        <family val="3"/>
        <charset val="134"/>
      </rPr>
      <t>准考证号</t>
    </r>
  </si>
  <si>
    <r>
      <rPr>
        <b/>
        <sz val="11"/>
        <color theme="1"/>
        <rFont val="宋体"/>
        <family val="3"/>
        <charset val="134"/>
      </rPr>
      <t>笔试综合成绩</t>
    </r>
    <phoneticPr fontId="1" type="noConversion"/>
  </si>
  <si>
    <r>
      <rPr>
        <b/>
        <sz val="11"/>
        <color theme="1"/>
        <rFont val="宋体"/>
        <family val="3"/>
        <charset val="134"/>
      </rPr>
      <t>备注</t>
    </r>
    <phoneticPr fontId="1" type="noConversion"/>
  </si>
  <si>
    <t>序号</t>
    <phoneticPr fontId="1" type="noConversion"/>
  </si>
  <si>
    <r>
      <t>180069_</t>
    </r>
    <r>
      <rPr>
        <sz val="11"/>
        <rFont val="宋体"/>
        <family val="3"/>
        <charset val="134"/>
      </rPr>
      <t>专业技术</t>
    </r>
  </si>
  <si>
    <r>
      <t>180071_</t>
    </r>
    <r>
      <rPr>
        <sz val="11"/>
        <rFont val="宋体"/>
        <family val="3"/>
        <charset val="134"/>
      </rPr>
      <t>专业技术</t>
    </r>
  </si>
  <si>
    <r>
      <t>2018</t>
    </r>
    <r>
      <rPr>
        <b/>
        <sz val="14"/>
        <rFont val="宋体"/>
        <family val="3"/>
        <charset val="134"/>
      </rPr>
      <t>年涡阳县县级公立医院公开招聘人员入围面试人员名单</t>
    </r>
    <phoneticPr fontId="1" type="noConversion"/>
  </si>
  <si>
    <r>
      <t>180072_</t>
    </r>
    <r>
      <rPr>
        <sz val="11"/>
        <rFont val="宋体"/>
        <family val="3"/>
        <charset val="134"/>
      </rPr>
      <t>专业技术</t>
    </r>
  </si>
  <si>
    <t>医学检验技术</t>
  </si>
  <si>
    <t>2018010413</t>
  </si>
  <si>
    <r>
      <t>180027_</t>
    </r>
    <r>
      <rPr>
        <sz val="11"/>
        <rFont val="宋体"/>
        <family val="3"/>
        <charset val="134"/>
      </rPr>
      <t>专业技术</t>
    </r>
  </si>
  <si>
    <t>护理</t>
  </si>
  <si>
    <t>2018010720</t>
  </si>
  <si>
    <t>2018011420</t>
  </si>
  <si>
    <t>2018011321</t>
  </si>
  <si>
    <t>2018011807</t>
  </si>
  <si>
    <t>2018010722</t>
  </si>
  <si>
    <t>2018011610</t>
  </si>
  <si>
    <t>2018010525</t>
  </si>
  <si>
    <t>2018012018</t>
  </si>
  <si>
    <t>2018010909</t>
  </si>
  <si>
    <t>2018010915</t>
  </si>
  <si>
    <r>
      <t>180034_</t>
    </r>
    <r>
      <rPr>
        <sz val="11"/>
        <rFont val="宋体"/>
        <family val="3"/>
        <charset val="134"/>
      </rPr>
      <t>专业技术</t>
    </r>
  </si>
  <si>
    <t>助产</t>
  </si>
  <si>
    <t>2018013416</t>
  </si>
  <si>
    <r>
      <t>180036_</t>
    </r>
    <r>
      <rPr>
        <sz val="11"/>
        <rFont val="宋体"/>
        <family val="3"/>
        <charset val="134"/>
      </rPr>
      <t>专业技术</t>
    </r>
  </si>
  <si>
    <r>
      <t>180034_专业技术</t>
    </r>
    <r>
      <rPr>
        <sz val="11"/>
        <rFont val="宋体"/>
        <family val="3"/>
        <charset val="134"/>
      </rPr>
      <t/>
    </r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</si>
</sst>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12"/>
      <color rgb="FFFF0000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/>
    </xf>
    <xf numFmtId="0" fontId="12" fillId="0" borderId="1" xfId="1" applyNumberFormat="1" applyFont="1" applyBorder="1" applyAlignment="1">
      <alignment horizontal="center" vertical="center"/>
    </xf>
    <xf numFmtId="0" fontId="12" fillId="0" borderId="1" xfId="1" applyNumberFormat="1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/>
    </xf>
    <xf numFmtId="0" fontId="12" fillId="0" borderId="1" xfId="2" applyNumberFormat="1" applyFont="1" applyBorder="1" applyAlignment="1">
      <alignment horizontal="center" vertical="center"/>
    </xf>
    <xf numFmtId="0" fontId="12" fillId="0" borderId="1" xfId="2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topLeftCell="B1" workbookViewId="0">
      <pane ySplit="2" topLeftCell="A420" activePane="bottomLeft" state="frozen"/>
      <selection activeCell="W1" sqref="W1"/>
      <selection pane="bottomLeft" activeCell="N433" sqref="N433"/>
    </sheetView>
  </sheetViews>
  <sheetFormatPr defaultRowHeight="18.75" customHeight="1"/>
  <cols>
    <col min="1" max="1" width="27.5" style="3" hidden="1" customWidth="1"/>
    <col min="2" max="2" width="15.875" style="3" customWidth="1"/>
    <col min="3" max="3" width="16.375" style="3" customWidth="1"/>
    <col min="4" max="4" width="9" style="13" customWidth="1"/>
    <col min="5" max="5" width="11.875" style="4" customWidth="1"/>
    <col min="6" max="6" width="9.875" style="4" customWidth="1"/>
    <col min="7" max="7" width="10.25" style="5" customWidth="1"/>
    <col min="8" max="8" width="9.5" style="4" customWidth="1"/>
    <col min="9" max="9" width="11.375" style="4" customWidth="1"/>
    <col min="10" max="16384" width="9" style="6"/>
  </cols>
  <sheetData>
    <row r="1" spans="1:9" ht="37.5" customHeight="1">
      <c r="B1" s="35" t="s">
        <v>38</v>
      </c>
      <c r="C1" s="36"/>
      <c r="D1" s="36"/>
      <c r="E1" s="36"/>
      <c r="F1" s="36"/>
      <c r="G1" s="36"/>
      <c r="H1" s="36"/>
      <c r="I1" s="36"/>
    </row>
    <row r="2" spans="1:9" s="2" customFormat="1" ht="29.25" customHeight="1">
      <c r="A2" s="1" t="s">
        <v>0</v>
      </c>
      <c r="B2" s="15" t="s">
        <v>35</v>
      </c>
      <c r="C2" s="10" t="s">
        <v>30</v>
      </c>
      <c r="D2" s="7" t="s">
        <v>31</v>
      </c>
      <c r="E2" s="7" t="s">
        <v>32</v>
      </c>
      <c r="F2" s="11" t="s">
        <v>1</v>
      </c>
      <c r="G2" s="7" t="s">
        <v>2</v>
      </c>
      <c r="H2" s="7" t="s">
        <v>33</v>
      </c>
      <c r="I2" s="7" t="s">
        <v>34</v>
      </c>
    </row>
    <row r="3" spans="1:9" ht="18.75" customHeight="1">
      <c r="A3" s="3" t="str">
        <f>"10522018022609405581624"</f>
        <v>10522018022609405581624</v>
      </c>
      <c r="B3" s="14">
        <v>1</v>
      </c>
      <c r="C3" s="8" t="s">
        <v>3</v>
      </c>
      <c r="D3" s="12" t="str">
        <f t="shared" ref="D3:D34" si="0">"临床医学"</f>
        <v>临床医学</v>
      </c>
      <c r="E3" s="9" t="str">
        <f>"2018010226"</f>
        <v>2018010226</v>
      </c>
      <c r="F3" s="9">
        <v>55</v>
      </c>
      <c r="G3" s="9">
        <v>99</v>
      </c>
      <c r="H3" s="9">
        <f t="shared" ref="H3:H62" si="1">F3*0.3+G3*0.7</f>
        <v>85.8</v>
      </c>
      <c r="I3" s="9"/>
    </row>
    <row r="4" spans="1:9" ht="18.75" customHeight="1">
      <c r="A4" s="3" t="str">
        <f>"10522018022822182582760"</f>
        <v>10522018022822182582760</v>
      </c>
      <c r="B4" s="14">
        <v>2</v>
      </c>
      <c r="C4" s="8" t="s">
        <v>3</v>
      </c>
      <c r="D4" s="12" t="str">
        <f t="shared" si="0"/>
        <v>临床医学</v>
      </c>
      <c r="E4" s="9" t="str">
        <f>"2018010303"</f>
        <v>2018010303</v>
      </c>
      <c r="F4" s="9">
        <v>74</v>
      </c>
      <c r="G4" s="9">
        <v>88</v>
      </c>
      <c r="H4" s="9">
        <f t="shared" si="1"/>
        <v>83.8</v>
      </c>
      <c r="I4" s="9"/>
    </row>
    <row r="5" spans="1:9" ht="18.75" customHeight="1">
      <c r="A5" s="3" t="str">
        <f>"10522018022721430982429"</f>
        <v>10522018022721430982429</v>
      </c>
      <c r="B5" s="14">
        <v>3</v>
      </c>
      <c r="C5" s="8" t="s">
        <v>3</v>
      </c>
      <c r="D5" s="12" t="str">
        <f t="shared" si="0"/>
        <v>临床医学</v>
      </c>
      <c r="E5" s="9" t="str">
        <f>"2018010321"</f>
        <v>2018010321</v>
      </c>
      <c r="F5" s="9">
        <v>77</v>
      </c>
      <c r="G5" s="9">
        <v>84</v>
      </c>
      <c r="H5" s="9">
        <f t="shared" si="1"/>
        <v>81.899999999999991</v>
      </c>
      <c r="I5" s="9"/>
    </row>
    <row r="6" spans="1:9" ht="18.75" customHeight="1">
      <c r="A6" s="3" t="str">
        <f>"10522018022621011382078"</f>
        <v>10522018022621011382078</v>
      </c>
      <c r="B6" s="25">
        <v>4</v>
      </c>
      <c r="C6" s="8" t="s">
        <v>3</v>
      </c>
      <c r="D6" s="12" t="str">
        <f t="shared" si="0"/>
        <v>临床医学</v>
      </c>
      <c r="E6" s="9" t="str">
        <f>"2018010230"</f>
        <v>2018010230</v>
      </c>
      <c r="F6" s="9">
        <v>74.5</v>
      </c>
      <c r="G6" s="9">
        <v>85</v>
      </c>
      <c r="H6" s="9">
        <f t="shared" si="1"/>
        <v>81.849999999999994</v>
      </c>
      <c r="I6" s="9"/>
    </row>
    <row r="7" spans="1:9" ht="18.75" customHeight="1">
      <c r="A7" s="3" t="str">
        <f>"10522018022813450382600"</f>
        <v>10522018022813450382600</v>
      </c>
      <c r="B7" s="25">
        <v>5</v>
      </c>
      <c r="C7" s="8" t="s">
        <v>3</v>
      </c>
      <c r="D7" s="12" t="str">
        <f t="shared" si="0"/>
        <v>临床医学</v>
      </c>
      <c r="E7" s="9" t="str">
        <f>"2018010123"</f>
        <v>2018010123</v>
      </c>
      <c r="F7" s="9">
        <v>52</v>
      </c>
      <c r="G7" s="9">
        <v>93</v>
      </c>
      <c r="H7" s="9">
        <f t="shared" si="1"/>
        <v>80.699999999999989</v>
      </c>
      <c r="I7" s="9"/>
    </row>
    <row r="8" spans="1:9" ht="18.75" customHeight="1">
      <c r="A8" s="3" t="str">
        <f>"10522018022719063082353"</f>
        <v>10522018022719063082353</v>
      </c>
      <c r="B8" s="25">
        <v>6</v>
      </c>
      <c r="C8" s="8" t="s">
        <v>3</v>
      </c>
      <c r="D8" s="12" t="str">
        <f t="shared" si="0"/>
        <v>临床医学</v>
      </c>
      <c r="E8" s="9" t="str">
        <f>"2018010210"</f>
        <v>2018010210</v>
      </c>
      <c r="F8" s="9">
        <v>74.5</v>
      </c>
      <c r="G8" s="9">
        <v>83</v>
      </c>
      <c r="H8" s="9">
        <f t="shared" si="1"/>
        <v>80.449999999999989</v>
      </c>
      <c r="I8" s="9"/>
    </row>
    <row r="9" spans="1:9" ht="18.75" customHeight="1">
      <c r="A9" s="3" t="str">
        <f>"10522018022613595081865"</f>
        <v>10522018022613595081865</v>
      </c>
      <c r="B9" s="25">
        <v>7</v>
      </c>
      <c r="C9" s="8" t="s">
        <v>3</v>
      </c>
      <c r="D9" s="12" t="str">
        <f t="shared" si="0"/>
        <v>临床医学</v>
      </c>
      <c r="E9" s="9" t="str">
        <f>"2018010312"</f>
        <v>2018010312</v>
      </c>
      <c r="F9" s="9">
        <v>63</v>
      </c>
      <c r="G9" s="9">
        <v>87</v>
      </c>
      <c r="H9" s="9">
        <f t="shared" si="1"/>
        <v>79.8</v>
      </c>
      <c r="I9" s="9"/>
    </row>
    <row r="10" spans="1:9" ht="18.75" customHeight="1">
      <c r="A10" s="3" t="str">
        <f>"10522018022609104381584"</f>
        <v>10522018022609104381584</v>
      </c>
      <c r="B10" s="25">
        <v>8</v>
      </c>
      <c r="C10" s="8" t="s">
        <v>3</v>
      </c>
      <c r="D10" s="12" t="str">
        <f t="shared" si="0"/>
        <v>临床医学</v>
      </c>
      <c r="E10" s="9" t="str">
        <f>"2018010127"</f>
        <v>2018010127</v>
      </c>
      <c r="F10" s="9">
        <v>57.5</v>
      </c>
      <c r="G10" s="9">
        <v>88</v>
      </c>
      <c r="H10" s="9">
        <f t="shared" si="1"/>
        <v>78.849999999999994</v>
      </c>
      <c r="I10" s="9"/>
    </row>
    <row r="11" spans="1:9" ht="18.75" customHeight="1">
      <c r="A11" s="3" t="str">
        <f>"10522018022720080282387"</f>
        <v>10522018022720080282387</v>
      </c>
      <c r="B11" s="25">
        <v>9</v>
      </c>
      <c r="C11" s="8" t="s">
        <v>3</v>
      </c>
      <c r="D11" s="12" t="str">
        <f t="shared" si="0"/>
        <v>临床医学</v>
      </c>
      <c r="E11" s="9" t="str">
        <f>"2018010225"</f>
        <v>2018010225</v>
      </c>
      <c r="F11" s="9">
        <v>64.5</v>
      </c>
      <c r="G11" s="9">
        <v>85</v>
      </c>
      <c r="H11" s="9">
        <f t="shared" si="1"/>
        <v>78.849999999999994</v>
      </c>
      <c r="I11" s="9"/>
    </row>
    <row r="12" spans="1:9" ht="18.75" customHeight="1">
      <c r="A12" s="3" t="str">
        <f>"10522018030122153683044"</f>
        <v>10522018030122153683044</v>
      </c>
      <c r="B12" s="25">
        <v>10</v>
      </c>
      <c r="C12" s="8" t="s">
        <v>3</v>
      </c>
      <c r="D12" s="12" t="str">
        <f t="shared" si="0"/>
        <v>临床医学</v>
      </c>
      <c r="E12" s="9" t="str">
        <f>"2018010119"</f>
        <v>2018010119</v>
      </c>
      <c r="F12" s="9">
        <v>70.5</v>
      </c>
      <c r="G12" s="9">
        <v>80</v>
      </c>
      <c r="H12" s="9">
        <f t="shared" si="1"/>
        <v>77.150000000000006</v>
      </c>
      <c r="I12" s="9"/>
    </row>
    <row r="13" spans="1:9" ht="18.75" customHeight="1">
      <c r="A13" s="3" t="str">
        <f>"10522018022818335482686"</f>
        <v>10522018022818335482686</v>
      </c>
      <c r="B13" s="25">
        <v>11</v>
      </c>
      <c r="C13" s="8" t="s">
        <v>3</v>
      </c>
      <c r="D13" s="12" t="str">
        <f t="shared" si="0"/>
        <v>临床医学</v>
      </c>
      <c r="E13" s="9" t="str">
        <f>"2018010328"</f>
        <v>2018010328</v>
      </c>
      <c r="F13" s="9">
        <v>55</v>
      </c>
      <c r="G13" s="9">
        <v>86</v>
      </c>
      <c r="H13" s="9">
        <f t="shared" si="1"/>
        <v>76.699999999999989</v>
      </c>
      <c r="I13" s="9"/>
    </row>
    <row r="14" spans="1:9" ht="18.75" customHeight="1">
      <c r="A14" s="3" t="str">
        <f>"10522018022610350681688"</f>
        <v>10522018022610350681688</v>
      </c>
      <c r="B14" s="25">
        <v>12</v>
      </c>
      <c r="C14" s="8" t="s">
        <v>3</v>
      </c>
      <c r="D14" s="12" t="str">
        <f t="shared" si="0"/>
        <v>临床医学</v>
      </c>
      <c r="E14" s="9" t="str">
        <f>"2018010313"</f>
        <v>2018010313</v>
      </c>
      <c r="F14" s="9">
        <v>73.5</v>
      </c>
      <c r="G14" s="9">
        <v>78</v>
      </c>
      <c r="H14" s="9">
        <f t="shared" si="1"/>
        <v>76.649999999999991</v>
      </c>
      <c r="I14" s="9"/>
    </row>
    <row r="15" spans="1:9" ht="18.75" customHeight="1">
      <c r="A15" s="3" t="str">
        <f>"10522018022610333381685"</f>
        <v>10522018022610333381685</v>
      </c>
      <c r="B15" s="25">
        <v>13</v>
      </c>
      <c r="C15" s="8" t="s">
        <v>3</v>
      </c>
      <c r="D15" s="12" t="str">
        <f t="shared" si="0"/>
        <v>临床医学</v>
      </c>
      <c r="E15" s="9" t="str">
        <f>"2018010114"</f>
        <v>2018010114</v>
      </c>
      <c r="F15" s="9">
        <v>73</v>
      </c>
      <c r="G15" s="9">
        <v>78</v>
      </c>
      <c r="H15" s="9">
        <f t="shared" si="1"/>
        <v>76.5</v>
      </c>
      <c r="I15" s="9"/>
    </row>
    <row r="16" spans="1:9" ht="18.75" customHeight="1">
      <c r="A16" s="3" t="str">
        <f>"10522018030115592182941"</f>
        <v>10522018030115592182941</v>
      </c>
      <c r="B16" s="25">
        <v>14</v>
      </c>
      <c r="C16" s="8" t="s">
        <v>3</v>
      </c>
      <c r="D16" s="12" t="str">
        <f t="shared" si="0"/>
        <v>临床医学</v>
      </c>
      <c r="E16" s="9" t="str">
        <f>"2018010102"</f>
        <v>2018010102</v>
      </c>
      <c r="F16" s="9">
        <v>58.5</v>
      </c>
      <c r="G16" s="9">
        <v>83</v>
      </c>
      <c r="H16" s="9">
        <f t="shared" si="1"/>
        <v>75.649999999999991</v>
      </c>
      <c r="I16" s="9"/>
    </row>
    <row r="17" spans="1:9" ht="18.75" customHeight="1">
      <c r="A17" s="3" t="str">
        <f>"10522018022614365881888"</f>
        <v>10522018022614365881888</v>
      </c>
      <c r="B17" s="25">
        <v>15</v>
      </c>
      <c r="C17" s="8" t="s">
        <v>3</v>
      </c>
      <c r="D17" s="12" t="str">
        <f t="shared" si="0"/>
        <v>临床医学</v>
      </c>
      <c r="E17" s="9" t="str">
        <f>"2018010307"</f>
        <v>2018010307</v>
      </c>
      <c r="F17" s="9">
        <v>57.5</v>
      </c>
      <c r="G17" s="9">
        <v>83</v>
      </c>
      <c r="H17" s="9">
        <f t="shared" si="1"/>
        <v>75.349999999999994</v>
      </c>
      <c r="I17" s="9"/>
    </row>
    <row r="18" spans="1:9" ht="18.75" customHeight="1">
      <c r="A18" s="3" t="str">
        <f>"10522018022819401482716"</f>
        <v>10522018022819401482716</v>
      </c>
      <c r="B18" s="25">
        <v>16</v>
      </c>
      <c r="C18" s="8" t="s">
        <v>3</v>
      </c>
      <c r="D18" s="12" t="str">
        <f t="shared" si="0"/>
        <v>临床医学</v>
      </c>
      <c r="E18" s="9" t="str">
        <f>"2018010118"</f>
        <v>2018010118</v>
      </c>
      <c r="F18" s="9">
        <v>59.5</v>
      </c>
      <c r="G18" s="9">
        <v>82</v>
      </c>
      <c r="H18" s="9">
        <f t="shared" si="1"/>
        <v>75.25</v>
      </c>
      <c r="I18" s="9"/>
    </row>
    <row r="19" spans="1:9" ht="18.75" customHeight="1">
      <c r="A19" s="3" t="str">
        <f>"10522018030211072883108"</f>
        <v>10522018030211072883108</v>
      </c>
      <c r="B19" s="25">
        <v>17</v>
      </c>
      <c r="C19" s="8" t="s">
        <v>3</v>
      </c>
      <c r="D19" s="12" t="str">
        <f t="shared" si="0"/>
        <v>临床医学</v>
      </c>
      <c r="E19" s="9" t="str">
        <f>"2018010327"</f>
        <v>2018010327</v>
      </c>
      <c r="F19" s="9">
        <v>57</v>
      </c>
      <c r="G19" s="9">
        <v>83</v>
      </c>
      <c r="H19" s="9">
        <f t="shared" si="1"/>
        <v>75.199999999999989</v>
      </c>
      <c r="I19" s="9"/>
    </row>
    <row r="20" spans="1:9" ht="18.75" customHeight="1">
      <c r="A20" s="3" t="str">
        <f>"10522018022809464282492"</f>
        <v>10522018022809464282492</v>
      </c>
      <c r="B20" s="25">
        <v>18</v>
      </c>
      <c r="C20" s="8" t="s">
        <v>3</v>
      </c>
      <c r="D20" s="12" t="str">
        <f t="shared" si="0"/>
        <v>临床医学</v>
      </c>
      <c r="E20" s="9" t="str">
        <f>"2018010228"</f>
        <v>2018010228</v>
      </c>
      <c r="F20" s="9">
        <v>59.5</v>
      </c>
      <c r="G20" s="9">
        <v>81</v>
      </c>
      <c r="H20" s="9">
        <f t="shared" si="1"/>
        <v>74.55</v>
      </c>
      <c r="I20" s="9"/>
    </row>
    <row r="21" spans="1:9" ht="18.75" customHeight="1">
      <c r="A21" s="3" t="str">
        <f>"10522018022809315582486"</f>
        <v>10522018022809315582486</v>
      </c>
      <c r="B21" s="25">
        <v>19</v>
      </c>
      <c r="C21" s="8" t="s">
        <v>3</v>
      </c>
      <c r="D21" s="12" t="str">
        <f t="shared" si="0"/>
        <v>临床医学</v>
      </c>
      <c r="E21" s="9" t="str">
        <f>"2018010110"</f>
        <v>2018010110</v>
      </c>
      <c r="F21" s="9">
        <v>60.5</v>
      </c>
      <c r="G21" s="9">
        <v>80</v>
      </c>
      <c r="H21" s="9">
        <f t="shared" si="1"/>
        <v>74.150000000000006</v>
      </c>
      <c r="I21" s="9"/>
    </row>
    <row r="22" spans="1:9" ht="18.75" customHeight="1">
      <c r="A22" s="3" t="str">
        <f>"10522018022621361282088"</f>
        <v>10522018022621361282088</v>
      </c>
      <c r="B22" s="25">
        <v>20</v>
      </c>
      <c r="C22" s="8" t="s">
        <v>3</v>
      </c>
      <c r="D22" s="12" t="str">
        <f t="shared" si="0"/>
        <v>临床医学</v>
      </c>
      <c r="E22" s="9" t="str">
        <f>"2018010107"</f>
        <v>2018010107</v>
      </c>
      <c r="F22" s="9">
        <v>55</v>
      </c>
      <c r="G22" s="9">
        <v>82</v>
      </c>
      <c r="H22" s="9">
        <f t="shared" si="1"/>
        <v>73.900000000000006</v>
      </c>
      <c r="I22" s="9"/>
    </row>
    <row r="23" spans="1:9" ht="18.75" customHeight="1">
      <c r="A23" s="3" t="str">
        <f>"10522018022614194381877"</f>
        <v>10522018022614194381877</v>
      </c>
      <c r="B23" s="25">
        <v>21</v>
      </c>
      <c r="C23" s="8" t="s">
        <v>3</v>
      </c>
      <c r="D23" s="12" t="str">
        <f t="shared" si="0"/>
        <v>临床医学</v>
      </c>
      <c r="E23" s="9" t="str">
        <f>"2018010105"</f>
        <v>2018010105</v>
      </c>
      <c r="F23" s="9">
        <v>66</v>
      </c>
      <c r="G23" s="9">
        <v>77</v>
      </c>
      <c r="H23" s="9">
        <f t="shared" si="1"/>
        <v>73.7</v>
      </c>
      <c r="I23" s="9"/>
    </row>
    <row r="24" spans="1:9" ht="18.75" customHeight="1">
      <c r="A24" s="3" t="str">
        <f>"10522018030213560583149"</f>
        <v>10522018030213560583149</v>
      </c>
      <c r="B24" s="25">
        <v>22</v>
      </c>
      <c r="C24" s="8" t="s">
        <v>3</v>
      </c>
      <c r="D24" s="12" t="str">
        <f t="shared" si="0"/>
        <v>临床医学</v>
      </c>
      <c r="E24" s="9" t="str">
        <f>"2018010311"</f>
        <v>2018010311</v>
      </c>
      <c r="F24" s="9">
        <v>52</v>
      </c>
      <c r="G24" s="9">
        <v>83</v>
      </c>
      <c r="H24" s="9">
        <f t="shared" si="1"/>
        <v>73.699999999999989</v>
      </c>
      <c r="I24" s="9"/>
    </row>
    <row r="25" spans="1:9" ht="18.75" customHeight="1">
      <c r="A25" s="3" t="str">
        <f>"10522018022609181781597"</f>
        <v>10522018022609181781597</v>
      </c>
      <c r="B25" s="25">
        <v>23</v>
      </c>
      <c r="C25" s="8" t="s">
        <v>3</v>
      </c>
      <c r="D25" s="12" t="str">
        <f t="shared" si="0"/>
        <v>临床医学</v>
      </c>
      <c r="E25" s="9" t="str">
        <f>"2018010121"</f>
        <v>2018010121</v>
      </c>
      <c r="F25" s="9">
        <v>51.5</v>
      </c>
      <c r="G25" s="9">
        <v>83</v>
      </c>
      <c r="H25" s="9">
        <f t="shared" si="1"/>
        <v>73.55</v>
      </c>
      <c r="I25" s="9"/>
    </row>
    <row r="26" spans="1:9" ht="18.75" customHeight="1">
      <c r="A26" s="3" t="str">
        <f>"10522018022615454381927"</f>
        <v>10522018022615454381927</v>
      </c>
      <c r="B26" s="25">
        <v>24</v>
      </c>
      <c r="C26" s="8" t="s">
        <v>3</v>
      </c>
      <c r="D26" s="12" t="str">
        <f t="shared" si="0"/>
        <v>临床医学</v>
      </c>
      <c r="E26" s="9" t="str">
        <f>"2018013606"</f>
        <v>2018013606</v>
      </c>
      <c r="F26" s="9">
        <v>58</v>
      </c>
      <c r="G26" s="9">
        <v>80</v>
      </c>
      <c r="H26" s="9">
        <f t="shared" si="1"/>
        <v>73.400000000000006</v>
      </c>
      <c r="I26" s="9"/>
    </row>
    <row r="27" spans="1:9" ht="18.75" customHeight="1">
      <c r="A27" s="3" t="str">
        <f>"10522018022613232981840"</f>
        <v>10522018022613232981840</v>
      </c>
      <c r="B27" s="25">
        <v>25</v>
      </c>
      <c r="C27" s="8" t="s">
        <v>3</v>
      </c>
      <c r="D27" s="12" t="str">
        <f t="shared" si="0"/>
        <v>临床医学</v>
      </c>
      <c r="E27" s="9" t="str">
        <f>"2018010214"</f>
        <v>2018010214</v>
      </c>
      <c r="F27" s="9">
        <v>62.5</v>
      </c>
      <c r="G27" s="9">
        <v>78</v>
      </c>
      <c r="H27" s="9">
        <f t="shared" si="1"/>
        <v>73.349999999999994</v>
      </c>
      <c r="I27" s="9"/>
    </row>
    <row r="28" spans="1:9" ht="18.75" customHeight="1">
      <c r="A28" s="3" t="str">
        <f>"10522018022618065182001"</f>
        <v>10522018022618065182001</v>
      </c>
      <c r="B28" s="25">
        <v>26</v>
      </c>
      <c r="C28" s="8" t="s">
        <v>3</v>
      </c>
      <c r="D28" s="12" t="str">
        <f t="shared" si="0"/>
        <v>临床医学</v>
      </c>
      <c r="E28" s="9" t="str">
        <f>"2018010324"</f>
        <v>2018010324</v>
      </c>
      <c r="F28" s="9">
        <v>57</v>
      </c>
      <c r="G28" s="9">
        <v>80</v>
      </c>
      <c r="H28" s="9">
        <f t="shared" si="1"/>
        <v>73.099999999999994</v>
      </c>
      <c r="I28" s="9"/>
    </row>
    <row r="29" spans="1:9" ht="18.75" customHeight="1">
      <c r="A29" s="3" t="str">
        <f>"10522018022610292081678"</f>
        <v>10522018022610292081678</v>
      </c>
      <c r="B29" s="25">
        <v>27</v>
      </c>
      <c r="C29" s="8" t="s">
        <v>3</v>
      </c>
      <c r="D29" s="12" t="str">
        <f t="shared" si="0"/>
        <v>临床医学</v>
      </c>
      <c r="E29" s="9" t="str">
        <f>"2018010304"</f>
        <v>2018010304</v>
      </c>
      <c r="F29" s="9">
        <v>57.5</v>
      </c>
      <c r="G29" s="9">
        <v>79</v>
      </c>
      <c r="H29" s="9">
        <f t="shared" si="1"/>
        <v>72.55</v>
      </c>
      <c r="I29" s="9"/>
    </row>
    <row r="30" spans="1:9" ht="18.75" customHeight="1">
      <c r="A30" s="3" t="str">
        <f>"10522018022615173881913"</f>
        <v>10522018022615173881913</v>
      </c>
      <c r="B30" s="25">
        <v>28</v>
      </c>
      <c r="C30" s="8" t="s">
        <v>3</v>
      </c>
      <c r="D30" s="12" t="str">
        <f t="shared" si="0"/>
        <v>临床医学</v>
      </c>
      <c r="E30" s="9" t="str">
        <f>"2018010216"</f>
        <v>2018010216</v>
      </c>
      <c r="F30" s="9">
        <v>50</v>
      </c>
      <c r="G30" s="9">
        <v>82</v>
      </c>
      <c r="H30" s="9">
        <f t="shared" si="1"/>
        <v>72.400000000000006</v>
      </c>
      <c r="I30" s="9"/>
    </row>
    <row r="31" spans="1:9" ht="18.75" customHeight="1">
      <c r="A31" s="3" t="str">
        <f>"10522018022613570781862"</f>
        <v>10522018022613570781862</v>
      </c>
      <c r="B31" s="25">
        <v>29</v>
      </c>
      <c r="C31" s="8" t="s">
        <v>3</v>
      </c>
      <c r="D31" s="12" t="str">
        <f t="shared" si="0"/>
        <v>临床医学</v>
      </c>
      <c r="E31" s="9" t="str">
        <f>"2018010309"</f>
        <v>2018010309</v>
      </c>
      <c r="F31" s="9">
        <v>70</v>
      </c>
      <c r="G31" s="9">
        <v>73</v>
      </c>
      <c r="H31" s="9">
        <f t="shared" si="1"/>
        <v>72.099999999999994</v>
      </c>
      <c r="I31" s="9"/>
    </row>
    <row r="32" spans="1:9" ht="18.75" customHeight="1">
      <c r="A32" s="3" t="str">
        <f>"10522018022609072081578"</f>
        <v>10522018022609072081578</v>
      </c>
      <c r="B32" s="25">
        <v>30</v>
      </c>
      <c r="C32" s="8" t="s">
        <v>3</v>
      </c>
      <c r="D32" s="12" t="str">
        <f t="shared" si="0"/>
        <v>临床医学</v>
      </c>
      <c r="E32" s="9" t="str">
        <f>"2018010322"</f>
        <v>2018010322</v>
      </c>
      <c r="F32" s="9">
        <v>67.5</v>
      </c>
      <c r="G32" s="9">
        <v>74</v>
      </c>
      <c r="H32" s="9">
        <f t="shared" si="1"/>
        <v>72.05</v>
      </c>
      <c r="I32" s="9"/>
    </row>
    <row r="33" spans="1:9" ht="18.75" customHeight="1">
      <c r="A33" s="3" t="str">
        <f>"10522018030118523982997"</f>
        <v>10522018030118523982997</v>
      </c>
      <c r="B33" s="25">
        <v>31</v>
      </c>
      <c r="C33" s="8" t="s">
        <v>3</v>
      </c>
      <c r="D33" s="12" t="str">
        <f t="shared" si="0"/>
        <v>临床医学</v>
      </c>
      <c r="E33" s="9" t="str">
        <f>"2018010217"</f>
        <v>2018010217</v>
      </c>
      <c r="F33" s="9">
        <v>50.5</v>
      </c>
      <c r="G33" s="9">
        <v>81</v>
      </c>
      <c r="H33" s="9">
        <f t="shared" si="1"/>
        <v>71.849999999999994</v>
      </c>
      <c r="I33" s="9"/>
    </row>
    <row r="34" spans="1:9" ht="18.75" customHeight="1">
      <c r="A34" s="3" t="str">
        <f>"10522018030210292883104"</f>
        <v>10522018030210292883104</v>
      </c>
      <c r="B34" s="25">
        <v>32</v>
      </c>
      <c r="C34" s="8" t="s">
        <v>3</v>
      </c>
      <c r="D34" s="12" t="str">
        <f t="shared" si="0"/>
        <v>临床医学</v>
      </c>
      <c r="E34" s="9" t="str">
        <f>"2018010201"</f>
        <v>2018010201</v>
      </c>
      <c r="F34" s="9">
        <v>52</v>
      </c>
      <c r="G34" s="9">
        <v>80</v>
      </c>
      <c r="H34" s="9">
        <f t="shared" si="1"/>
        <v>71.599999999999994</v>
      </c>
      <c r="I34" s="9"/>
    </row>
    <row r="35" spans="1:9" ht="18.75" customHeight="1">
      <c r="A35" s="3" t="str">
        <f>"10522018022616501181965"</f>
        <v>10522018022616501181965</v>
      </c>
      <c r="B35" s="25">
        <v>33</v>
      </c>
      <c r="C35" s="8" t="s">
        <v>3</v>
      </c>
      <c r="D35" s="12" t="str">
        <f t="shared" ref="D35:D63" si="2">"临床医学"</f>
        <v>临床医学</v>
      </c>
      <c r="E35" s="9" t="str">
        <f>"2018010113"</f>
        <v>2018010113</v>
      </c>
      <c r="F35" s="9">
        <v>60.5</v>
      </c>
      <c r="G35" s="9">
        <v>76</v>
      </c>
      <c r="H35" s="9">
        <f t="shared" si="1"/>
        <v>71.349999999999994</v>
      </c>
      <c r="I35" s="9"/>
    </row>
    <row r="36" spans="1:9" ht="18.75" customHeight="1">
      <c r="A36" s="3" t="str">
        <f>"10522018022717542482320"</f>
        <v>10522018022717542482320</v>
      </c>
      <c r="B36" s="25">
        <v>34</v>
      </c>
      <c r="C36" s="8" t="s">
        <v>3</v>
      </c>
      <c r="D36" s="12" t="str">
        <f t="shared" si="2"/>
        <v>临床医学</v>
      </c>
      <c r="E36" s="9" t="str">
        <f>"2018010319"</f>
        <v>2018010319</v>
      </c>
      <c r="F36" s="9">
        <v>55.5</v>
      </c>
      <c r="G36" s="9">
        <v>78</v>
      </c>
      <c r="H36" s="9">
        <f t="shared" si="1"/>
        <v>71.25</v>
      </c>
      <c r="I36" s="9"/>
    </row>
    <row r="37" spans="1:9" ht="18.75" customHeight="1">
      <c r="A37" s="3" t="str">
        <f>"10522018022716533682309"</f>
        <v>10522018022716533682309</v>
      </c>
      <c r="B37" s="25">
        <v>35</v>
      </c>
      <c r="C37" s="8" t="s">
        <v>3</v>
      </c>
      <c r="D37" s="12" t="str">
        <f t="shared" si="2"/>
        <v>临床医学</v>
      </c>
      <c r="E37" s="9" t="str">
        <f>"2018010213"</f>
        <v>2018010213</v>
      </c>
      <c r="F37" s="9">
        <v>65.5</v>
      </c>
      <c r="G37" s="9">
        <v>73</v>
      </c>
      <c r="H37" s="9">
        <f t="shared" si="1"/>
        <v>70.75</v>
      </c>
      <c r="I37" s="9"/>
    </row>
    <row r="38" spans="1:9" ht="18.75" customHeight="1">
      <c r="A38" s="3" t="str">
        <f>"10522018030117435082973"</f>
        <v>10522018030117435082973</v>
      </c>
      <c r="B38" s="25">
        <v>36</v>
      </c>
      <c r="C38" s="8" t="s">
        <v>3</v>
      </c>
      <c r="D38" s="12" t="str">
        <f t="shared" si="2"/>
        <v>临床医学</v>
      </c>
      <c r="E38" s="9" t="str">
        <f>"2018010220"</f>
        <v>2018010220</v>
      </c>
      <c r="F38" s="9">
        <v>48</v>
      </c>
      <c r="G38" s="9">
        <v>80</v>
      </c>
      <c r="H38" s="9">
        <f t="shared" si="1"/>
        <v>70.400000000000006</v>
      </c>
      <c r="I38" s="9"/>
    </row>
    <row r="39" spans="1:9" ht="18.75" customHeight="1">
      <c r="A39" s="3" t="str">
        <f>"10522018022615375381922"</f>
        <v>10522018022615375381922</v>
      </c>
      <c r="B39" s="25">
        <v>37</v>
      </c>
      <c r="C39" s="8" t="s">
        <v>3</v>
      </c>
      <c r="D39" s="12" t="str">
        <f t="shared" si="2"/>
        <v>临床医学</v>
      </c>
      <c r="E39" s="9" t="str">
        <f>"2018010325"</f>
        <v>2018010325</v>
      </c>
      <c r="F39" s="9">
        <v>52.5</v>
      </c>
      <c r="G39" s="9">
        <v>78</v>
      </c>
      <c r="H39" s="9">
        <f t="shared" si="1"/>
        <v>70.349999999999994</v>
      </c>
      <c r="I39" s="9"/>
    </row>
    <row r="40" spans="1:9" ht="18.75" customHeight="1">
      <c r="A40" s="3" t="str">
        <f>"10522018022812074982556"</f>
        <v>10522018022812074982556</v>
      </c>
      <c r="B40" s="25">
        <v>38</v>
      </c>
      <c r="C40" s="8" t="s">
        <v>3</v>
      </c>
      <c r="D40" s="12" t="str">
        <f t="shared" si="2"/>
        <v>临床医学</v>
      </c>
      <c r="E40" s="9" t="str">
        <f>"2018010310"</f>
        <v>2018010310</v>
      </c>
      <c r="F40" s="9">
        <v>44.5</v>
      </c>
      <c r="G40" s="9">
        <v>80</v>
      </c>
      <c r="H40" s="9">
        <f t="shared" si="1"/>
        <v>69.349999999999994</v>
      </c>
      <c r="I40" s="9"/>
    </row>
    <row r="41" spans="1:9" ht="18.75" customHeight="1">
      <c r="A41" s="3" t="str">
        <f>"10522018022612123881779"</f>
        <v>10522018022612123881779</v>
      </c>
      <c r="B41" s="25">
        <v>39</v>
      </c>
      <c r="C41" s="8" t="s">
        <v>3</v>
      </c>
      <c r="D41" s="12" t="str">
        <f t="shared" si="2"/>
        <v>临床医学</v>
      </c>
      <c r="E41" s="9" t="str">
        <f>"2018010316"</f>
        <v>2018010316</v>
      </c>
      <c r="F41" s="9">
        <v>62.5</v>
      </c>
      <c r="G41" s="9">
        <v>72</v>
      </c>
      <c r="H41" s="9">
        <f t="shared" si="1"/>
        <v>69.150000000000006</v>
      </c>
      <c r="I41" s="9"/>
    </row>
    <row r="42" spans="1:9" ht="18.75" customHeight="1">
      <c r="A42" s="3" t="str">
        <f>"10522018022613181981833"</f>
        <v>10522018022613181981833</v>
      </c>
      <c r="B42" s="25">
        <v>40</v>
      </c>
      <c r="C42" s="8" t="s">
        <v>3</v>
      </c>
      <c r="D42" s="12" t="str">
        <f t="shared" si="2"/>
        <v>临床医学</v>
      </c>
      <c r="E42" s="9" t="str">
        <f>"2018013604"</f>
        <v>2018013604</v>
      </c>
      <c r="F42" s="9">
        <v>52.5</v>
      </c>
      <c r="G42" s="9">
        <v>76</v>
      </c>
      <c r="H42" s="9">
        <f t="shared" si="1"/>
        <v>68.949999999999989</v>
      </c>
      <c r="I42" s="9"/>
    </row>
    <row r="43" spans="1:9" ht="18.75" customHeight="1">
      <c r="A43" s="3" t="str">
        <f>"10522018022718570382346"</f>
        <v>10522018022718570382346</v>
      </c>
      <c r="B43" s="25">
        <v>41</v>
      </c>
      <c r="C43" s="8" t="s">
        <v>3</v>
      </c>
      <c r="D43" s="12" t="str">
        <f t="shared" si="2"/>
        <v>临床医学</v>
      </c>
      <c r="E43" s="9" t="str">
        <f>"2018010130"</f>
        <v>2018010130</v>
      </c>
      <c r="F43" s="9">
        <v>47.5</v>
      </c>
      <c r="G43" s="9">
        <v>78</v>
      </c>
      <c r="H43" s="9">
        <f t="shared" si="1"/>
        <v>68.849999999999994</v>
      </c>
      <c r="I43" s="9"/>
    </row>
    <row r="44" spans="1:9" ht="18.75" customHeight="1">
      <c r="A44" s="3" t="str">
        <f>"10522018022612512881813"</f>
        <v>10522018022612512881813</v>
      </c>
      <c r="B44" s="25">
        <v>42</v>
      </c>
      <c r="C44" s="8" t="s">
        <v>3</v>
      </c>
      <c r="D44" s="12" t="str">
        <f t="shared" si="2"/>
        <v>临床医学</v>
      </c>
      <c r="E44" s="9" t="str">
        <f>"2018010101"</f>
        <v>2018010101</v>
      </c>
      <c r="F44" s="9">
        <v>52.5</v>
      </c>
      <c r="G44" s="9">
        <v>75</v>
      </c>
      <c r="H44" s="9">
        <f t="shared" si="1"/>
        <v>68.25</v>
      </c>
      <c r="I44" s="9"/>
    </row>
    <row r="45" spans="1:9" ht="18.75" customHeight="1">
      <c r="A45" s="3" t="str">
        <f>"10522018022617493481995"</f>
        <v>10522018022617493481995</v>
      </c>
      <c r="B45" s="25">
        <v>43</v>
      </c>
      <c r="C45" s="8" t="s">
        <v>3</v>
      </c>
      <c r="D45" s="12" t="str">
        <f t="shared" si="2"/>
        <v>临床医学</v>
      </c>
      <c r="E45" s="9" t="str">
        <f>"2018010318"</f>
        <v>2018010318</v>
      </c>
      <c r="F45" s="9">
        <v>50</v>
      </c>
      <c r="G45" s="9">
        <v>76</v>
      </c>
      <c r="H45" s="9">
        <f t="shared" si="1"/>
        <v>68.199999999999989</v>
      </c>
      <c r="I45" s="9"/>
    </row>
    <row r="46" spans="1:9" ht="18.75" customHeight="1">
      <c r="A46" s="3" t="str">
        <f>"10522018022621024482079"</f>
        <v>10522018022621024482079</v>
      </c>
      <c r="B46" s="25">
        <v>44</v>
      </c>
      <c r="C46" s="8" t="s">
        <v>3</v>
      </c>
      <c r="D46" s="12" t="str">
        <f t="shared" si="2"/>
        <v>临床医学</v>
      </c>
      <c r="E46" s="9" t="str">
        <f>"2018010206"</f>
        <v>2018010206</v>
      </c>
      <c r="F46" s="9">
        <v>53</v>
      </c>
      <c r="G46" s="9">
        <v>74</v>
      </c>
      <c r="H46" s="9">
        <f t="shared" si="1"/>
        <v>67.699999999999989</v>
      </c>
      <c r="I46" s="9"/>
    </row>
    <row r="47" spans="1:9" ht="18.75" customHeight="1">
      <c r="A47" s="3" t="str">
        <f>"10522018022611063981735"</f>
        <v>10522018022611063981735</v>
      </c>
      <c r="B47" s="25">
        <v>45</v>
      </c>
      <c r="C47" s="8" t="s">
        <v>3</v>
      </c>
      <c r="D47" s="12" t="str">
        <f t="shared" si="2"/>
        <v>临床医学</v>
      </c>
      <c r="E47" s="9" t="str">
        <f>"2018010317"</f>
        <v>2018010317</v>
      </c>
      <c r="F47" s="9">
        <v>55</v>
      </c>
      <c r="G47" s="9">
        <v>73</v>
      </c>
      <c r="H47" s="9">
        <f t="shared" si="1"/>
        <v>67.599999999999994</v>
      </c>
      <c r="I47" s="9"/>
    </row>
    <row r="48" spans="1:9" ht="18.75" customHeight="1">
      <c r="A48" s="3" t="str">
        <f>"10522018030110415182826"</f>
        <v>10522018030110415182826</v>
      </c>
      <c r="B48" s="25">
        <v>46</v>
      </c>
      <c r="C48" s="8" t="s">
        <v>3</v>
      </c>
      <c r="D48" s="12" t="str">
        <f t="shared" si="2"/>
        <v>临床医学</v>
      </c>
      <c r="E48" s="9" t="str">
        <f>"2018013603"</f>
        <v>2018013603</v>
      </c>
      <c r="F48" s="9">
        <v>45</v>
      </c>
      <c r="G48" s="9">
        <v>77</v>
      </c>
      <c r="H48" s="9">
        <f t="shared" si="1"/>
        <v>67.400000000000006</v>
      </c>
      <c r="I48" s="9"/>
    </row>
    <row r="49" spans="1:9" ht="18.75" customHeight="1">
      <c r="A49" s="3" t="str">
        <f>"10522018022819523582720"</f>
        <v>10522018022819523582720</v>
      </c>
      <c r="B49" s="25">
        <v>47</v>
      </c>
      <c r="C49" s="8" t="s">
        <v>3</v>
      </c>
      <c r="D49" s="12" t="str">
        <f t="shared" si="2"/>
        <v>临床医学</v>
      </c>
      <c r="E49" s="9" t="str">
        <f>"2018010212"</f>
        <v>2018010212</v>
      </c>
      <c r="F49" s="9">
        <v>49.5</v>
      </c>
      <c r="G49" s="9">
        <v>75</v>
      </c>
      <c r="H49" s="9">
        <f t="shared" si="1"/>
        <v>67.349999999999994</v>
      </c>
      <c r="I49" s="9"/>
    </row>
    <row r="50" spans="1:9" ht="18.75" customHeight="1">
      <c r="A50" s="3" t="str">
        <f>"10522018030111343082849"</f>
        <v>10522018030111343082849</v>
      </c>
      <c r="B50" s="25">
        <v>48</v>
      </c>
      <c r="C50" s="8" t="s">
        <v>3</v>
      </c>
      <c r="D50" s="12" t="str">
        <f t="shared" si="2"/>
        <v>临床医学</v>
      </c>
      <c r="E50" s="9" t="str">
        <f>"2018010215"</f>
        <v>2018010215</v>
      </c>
      <c r="F50" s="9">
        <v>63.5</v>
      </c>
      <c r="G50" s="9">
        <v>68</v>
      </c>
      <c r="H50" s="9">
        <f t="shared" si="1"/>
        <v>66.649999999999991</v>
      </c>
      <c r="I50" s="9"/>
    </row>
    <row r="51" spans="1:9" ht="18.75" customHeight="1">
      <c r="A51" s="3" t="str">
        <f>"10522018030115232782929"</f>
        <v>10522018030115232782929</v>
      </c>
      <c r="B51" s="25">
        <v>49</v>
      </c>
      <c r="C51" s="8" t="s">
        <v>3</v>
      </c>
      <c r="D51" s="12" t="str">
        <f t="shared" si="2"/>
        <v>临床医学</v>
      </c>
      <c r="E51" s="9" t="str">
        <f>"2018010208"</f>
        <v>2018010208</v>
      </c>
      <c r="F51" s="9">
        <v>58</v>
      </c>
      <c r="G51" s="9">
        <v>70</v>
      </c>
      <c r="H51" s="9">
        <f t="shared" si="1"/>
        <v>66.400000000000006</v>
      </c>
      <c r="I51" s="9"/>
    </row>
    <row r="52" spans="1:9" ht="18.75" customHeight="1">
      <c r="A52" s="3" t="str">
        <f>"10522018022708024482124"</f>
        <v>10522018022708024482124</v>
      </c>
      <c r="B52" s="25">
        <v>50</v>
      </c>
      <c r="C52" s="8" t="s">
        <v>3</v>
      </c>
      <c r="D52" s="12" t="str">
        <f t="shared" si="2"/>
        <v>临床医学</v>
      </c>
      <c r="E52" s="9" t="str">
        <f>"2018010104"</f>
        <v>2018010104</v>
      </c>
      <c r="F52" s="9">
        <v>44</v>
      </c>
      <c r="G52" s="9">
        <v>75</v>
      </c>
      <c r="H52" s="9">
        <f t="shared" si="1"/>
        <v>65.7</v>
      </c>
      <c r="I52" s="9"/>
    </row>
    <row r="53" spans="1:9" ht="18.75" customHeight="1">
      <c r="A53" s="3" t="str">
        <f>"10522018022615480481929"</f>
        <v>10522018022615480481929</v>
      </c>
      <c r="B53" s="25">
        <v>51</v>
      </c>
      <c r="C53" s="8" t="s">
        <v>3</v>
      </c>
      <c r="D53" s="12" t="str">
        <f t="shared" si="2"/>
        <v>临床医学</v>
      </c>
      <c r="E53" s="9" t="str">
        <f>"2018010117"</f>
        <v>2018010117</v>
      </c>
      <c r="F53" s="9">
        <v>53.5</v>
      </c>
      <c r="G53" s="9">
        <v>70</v>
      </c>
      <c r="H53" s="9">
        <f t="shared" si="1"/>
        <v>65.05</v>
      </c>
      <c r="I53" s="9"/>
    </row>
    <row r="54" spans="1:9" ht="18.75" customHeight="1">
      <c r="A54" s="3" t="str">
        <f>"10522018022818431482691"</f>
        <v>10522018022818431482691</v>
      </c>
      <c r="B54" s="25">
        <v>52</v>
      </c>
      <c r="C54" s="8" t="s">
        <v>3</v>
      </c>
      <c r="D54" s="12" t="str">
        <f t="shared" si="2"/>
        <v>临床医学</v>
      </c>
      <c r="E54" s="9" t="str">
        <f>"2018010207"</f>
        <v>2018010207</v>
      </c>
      <c r="F54" s="9">
        <v>53</v>
      </c>
      <c r="G54" s="9">
        <v>70</v>
      </c>
      <c r="H54" s="9">
        <f t="shared" si="1"/>
        <v>64.900000000000006</v>
      </c>
      <c r="I54" s="9"/>
    </row>
    <row r="55" spans="1:9" ht="18.75" customHeight="1">
      <c r="A55" s="3" t="str">
        <f>"10522018022712591582226"</f>
        <v>10522018022712591582226</v>
      </c>
      <c r="B55" s="25">
        <v>53</v>
      </c>
      <c r="C55" s="8" t="s">
        <v>3</v>
      </c>
      <c r="D55" s="12" t="str">
        <f t="shared" si="2"/>
        <v>临床医学</v>
      </c>
      <c r="E55" s="9" t="str">
        <f>"2018013602"</f>
        <v>2018013602</v>
      </c>
      <c r="F55" s="9">
        <v>52</v>
      </c>
      <c r="G55" s="9">
        <v>70</v>
      </c>
      <c r="H55" s="9">
        <f t="shared" si="1"/>
        <v>64.599999999999994</v>
      </c>
      <c r="I55" s="9"/>
    </row>
    <row r="56" spans="1:9" ht="18.75" customHeight="1">
      <c r="A56" s="3" t="str">
        <f>"10522018022610280081675"</f>
        <v>10522018022610280081675</v>
      </c>
      <c r="B56" s="25">
        <v>54</v>
      </c>
      <c r="C56" s="8" t="s">
        <v>3</v>
      </c>
      <c r="D56" s="12" t="str">
        <f t="shared" si="2"/>
        <v>临床医学</v>
      </c>
      <c r="E56" s="9" t="str">
        <f>"2018010308"</f>
        <v>2018010308</v>
      </c>
      <c r="F56" s="9">
        <v>60</v>
      </c>
      <c r="G56" s="9">
        <v>66</v>
      </c>
      <c r="H56" s="9">
        <f t="shared" si="1"/>
        <v>64.199999999999989</v>
      </c>
      <c r="I56" s="9"/>
    </row>
    <row r="57" spans="1:9" ht="18.75" customHeight="1">
      <c r="A57" s="3" t="str">
        <f>"10522018022721385082428"</f>
        <v>10522018022721385082428</v>
      </c>
      <c r="B57" s="25">
        <v>55</v>
      </c>
      <c r="C57" s="8" t="s">
        <v>3</v>
      </c>
      <c r="D57" s="12" t="str">
        <f t="shared" si="2"/>
        <v>临床医学</v>
      </c>
      <c r="E57" s="9" t="str">
        <f>"2018010315"</f>
        <v>2018010315</v>
      </c>
      <c r="F57" s="9">
        <v>60</v>
      </c>
      <c r="G57" s="9">
        <v>63</v>
      </c>
      <c r="H57" s="9">
        <f t="shared" si="1"/>
        <v>62.099999999999994</v>
      </c>
      <c r="I57" s="9"/>
    </row>
    <row r="58" spans="1:9" ht="18.75" customHeight="1">
      <c r="A58" s="3" t="str">
        <f>"10522018022815311382635"</f>
        <v>10522018022815311382635</v>
      </c>
      <c r="B58" s="25">
        <v>56</v>
      </c>
      <c r="C58" s="8" t="s">
        <v>3</v>
      </c>
      <c r="D58" s="12" t="str">
        <f t="shared" si="2"/>
        <v>临床医学</v>
      </c>
      <c r="E58" s="9" t="str">
        <f>"2018010323"</f>
        <v>2018010323</v>
      </c>
      <c r="F58" s="9">
        <v>47.5</v>
      </c>
      <c r="G58" s="9">
        <v>68</v>
      </c>
      <c r="H58" s="9">
        <f t="shared" si="1"/>
        <v>61.849999999999994</v>
      </c>
      <c r="I58" s="9"/>
    </row>
    <row r="59" spans="1:9" ht="18.75" customHeight="1">
      <c r="A59" s="3" t="str">
        <f>"10522018030115021582924"</f>
        <v>10522018030115021582924</v>
      </c>
      <c r="B59" s="25">
        <v>57</v>
      </c>
      <c r="C59" s="8" t="s">
        <v>3</v>
      </c>
      <c r="D59" s="12" t="str">
        <f t="shared" si="2"/>
        <v>临床医学</v>
      </c>
      <c r="E59" s="9" t="str">
        <f>"2018010223"</f>
        <v>2018010223</v>
      </c>
      <c r="F59" s="9">
        <v>42.5</v>
      </c>
      <c r="G59" s="9">
        <v>70</v>
      </c>
      <c r="H59" s="9">
        <f t="shared" si="1"/>
        <v>61.75</v>
      </c>
      <c r="I59" s="9"/>
    </row>
    <row r="60" spans="1:9" ht="18.75" customHeight="1">
      <c r="A60" s="3" t="str">
        <f>"10522018022714253582262"</f>
        <v>10522018022714253582262</v>
      </c>
      <c r="B60" s="25">
        <v>58</v>
      </c>
      <c r="C60" s="8" t="s">
        <v>3</v>
      </c>
      <c r="D60" s="12" t="str">
        <f t="shared" si="2"/>
        <v>临床医学</v>
      </c>
      <c r="E60" s="9" t="str">
        <f>"2018010126"</f>
        <v>2018010126</v>
      </c>
      <c r="F60" s="9">
        <v>45.5</v>
      </c>
      <c r="G60" s="9">
        <v>67</v>
      </c>
      <c r="H60" s="9">
        <f t="shared" si="1"/>
        <v>60.55</v>
      </c>
      <c r="I60" s="9"/>
    </row>
    <row r="61" spans="1:9" ht="18.75" customHeight="1">
      <c r="A61" s="3" t="str">
        <f>"10522018022614354081886"</f>
        <v>10522018022614354081886</v>
      </c>
      <c r="B61" s="25">
        <v>59</v>
      </c>
      <c r="C61" s="8" t="s">
        <v>4</v>
      </c>
      <c r="D61" s="12" t="str">
        <f t="shared" si="2"/>
        <v>临床医学</v>
      </c>
      <c r="E61" s="9" t="str">
        <f>"2018013607"</f>
        <v>2018013607</v>
      </c>
      <c r="F61" s="9">
        <v>72.5</v>
      </c>
      <c r="G61" s="9">
        <v>75</v>
      </c>
      <c r="H61" s="9">
        <f t="shared" si="1"/>
        <v>74.25</v>
      </c>
      <c r="I61" s="9"/>
    </row>
    <row r="62" spans="1:9" ht="18.75" customHeight="1">
      <c r="A62" s="3" t="str">
        <f>"10522018022610363081689"</f>
        <v>10522018022610363081689</v>
      </c>
      <c r="B62" s="25">
        <v>60</v>
      </c>
      <c r="C62" s="8" t="s">
        <v>4</v>
      </c>
      <c r="D62" s="12" t="str">
        <f t="shared" si="2"/>
        <v>临床医学</v>
      </c>
      <c r="E62" s="9" t="str">
        <f>"2018013611"</f>
        <v>2018013611</v>
      </c>
      <c r="F62" s="9">
        <v>73</v>
      </c>
      <c r="G62" s="9">
        <v>73</v>
      </c>
      <c r="H62" s="9">
        <f t="shared" si="1"/>
        <v>73</v>
      </c>
      <c r="I62" s="9"/>
    </row>
    <row r="63" spans="1:9" ht="18.75" customHeight="1">
      <c r="A63" s="3" t="str">
        <f>"10522018022718124682326"</f>
        <v>10522018022718124682326</v>
      </c>
      <c r="B63" s="25">
        <v>61</v>
      </c>
      <c r="C63" s="8" t="s">
        <v>4</v>
      </c>
      <c r="D63" s="12" t="str">
        <f t="shared" si="2"/>
        <v>临床医学</v>
      </c>
      <c r="E63" s="9" t="str">
        <f>"2018013609"</f>
        <v>2018013609</v>
      </c>
      <c r="F63" s="9">
        <v>36.5</v>
      </c>
      <c r="G63" s="9">
        <v>76</v>
      </c>
      <c r="H63" s="9">
        <f t="shared" ref="H63:H119" si="3">F63*0.3+G63*0.7</f>
        <v>64.149999999999991</v>
      </c>
      <c r="I63" s="9"/>
    </row>
    <row r="64" spans="1:9" ht="18.75" customHeight="1">
      <c r="A64" s="3" t="str">
        <f>"10522018030108591382799"</f>
        <v>10522018030108591382799</v>
      </c>
      <c r="B64" s="25">
        <v>62</v>
      </c>
      <c r="C64" s="8" t="s">
        <v>5</v>
      </c>
      <c r="D64" s="12" t="str">
        <f>"麻醉学"</f>
        <v>麻醉学</v>
      </c>
      <c r="E64" s="9" t="str">
        <f>"2018013622"</f>
        <v>2018013622</v>
      </c>
      <c r="F64" s="9">
        <v>62</v>
      </c>
      <c r="G64" s="9">
        <v>74</v>
      </c>
      <c r="H64" s="9">
        <f t="shared" si="3"/>
        <v>70.399999999999991</v>
      </c>
      <c r="I64" s="9"/>
    </row>
    <row r="65" spans="1:9" ht="18.75" customHeight="1">
      <c r="A65" s="3" t="str">
        <f>"10522018022817162282662"</f>
        <v>10522018022817162282662</v>
      </c>
      <c r="B65" s="25">
        <v>63</v>
      </c>
      <c r="C65" s="8" t="s">
        <v>5</v>
      </c>
      <c r="D65" s="12" t="str">
        <f>"麻醉"</f>
        <v>麻醉</v>
      </c>
      <c r="E65" s="9" t="str">
        <f>"2018013620"</f>
        <v>2018013620</v>
      </c>
      <c r="F65" s="9">
        <v>44</v>
      </c>
      <c r="G65" s="9">
        <v>75</v>
      </c>
      <c r="H65" s="9">
        <f t="shared" si="3"/>
        <v>65.7</v>
      </c>
      <c r="I65" s="9"/>
    </row>
    <row r="66" spans="1:9" ht="18.75" customHeight="1">
      <c r="A66" s="3" t="str">
        <f>"10522018022709261682146"</f>
        <v>10522018022709261682146</v>
      </c>
      <c r="B66" s="25">
        <v>64</v>
      </c>
      <c r="C66" s="8" t="s">
        <v>6</v>
      </c>
      <c r="D66" s="12" t="str">
        <f>"口腔医学"</f>
        <v>口腔医学</v>
      </c>
      <c r="E66" s="9" t="str">
        <f>"2018013708"</f>
        <v>2018013708</v>
      </c>
      <c r="F66" s="9">
        <v>66.5</v>
      </c>
      <c r="G66" s="9">
        <v>100</v>
      </c>
      <c r="H66" s="9">
        <f t="shared" si="3"/>
        <v>89.95</v>
      </c>
      <c r="I66" s="9"/>
    </row>
    <row r="67" spans="1:9" ht="18.75" customHeight="1">
      <c r="A67" s="3" t="str">
        <f>"10522018022613222181837"</f>
        <v>10522018022613222181837</v>
      </c>
      <c r="B67" s="25">
        <v>65</v>
      </c>
      <c r="C67" s="8" t="s">
        <v>6</v>
      </c>
      <c r="D67" s="12" t="str">
        <f>"口腔医学"</f>
        <v>口腔医学</v>
      </c>
      <c r="E67" s="9" t="str">
        <f>"2018013702"</f>
        <v>2018013702</v>
      </c>
      <c r="F67" s="9">
        <v>70.5</v>
      </c>
      <c r="G67" s="9">
        <v>87</v>
      </c>
      <c r="H67" s="9">
        <f t="shared" si="3"/>
        <v>82.05</v>
      </c>
      <c r="I67" s="9"/>
    </row>
    <row r="68" spans="1:9" ht="18.75" customHeight="1">
      <c r="A68" s="3" t="str">
        <f>"10522018022715182882279"</f>
        <v>10522018022715182882279</v>
      </c>
      <c r="B68" s="25">
        <v>66</v>
      </c>
      <c r="C68" s="8" t="s">
        <v>6</v>
      </c>
      <c r="D68" s="12" t="str">
        <f>"口腔医学专业"</f>
        <v>口腔医学专业</v>
      </c>
      <c r="E68" s="9" t="str">
        <f>"2018013705"</f>
        <v>2018013705</v>
      </c>
      <c r="F68" s="9">
        <v>45</v>
      </c>
      <c r="G68" s="9">
        <v>87</v>
      </c>
      <c r="H68" s="9">
        <f t="shared" si="3"/>
        <v>74.400000000000006</v>
      </c>
      <c r="I68" s="9"/>
    </row>
    <row r="69" spans="1:9" ht="18.75" customHeight="1">
      <c r="A69" s="3" t="str">
        <f>"10522018022712024482208"</f>
        <v>10522018022712024482208</v>
      </c>
      <c r="B69" s="25">
        <v>67</v>
      </c>
      <c r="C69" s="8" t="s">
        <v>7</v>
      </c>
      <c r="D69" s="12" t="str">
        <f>"针灸推拿学"</f>
        <v>针灸推拿学</v>
      </c>
      <c r="E69" s="9" t="str">
        <f>"2018013901"</f>
        <v>2018013901</v>
      </c>
      <c r="F69" s="9">
        <v>54.5</v>
      </c>
      <c r="G69" s="9">
        <v>88</v>
      </c>
      <c r="H69" s="9">
        <f t="shared" si="3"/>
        <v>77.949999999999989</v>
      </c>
      <c r="I69" s="9"/>
    </row>
    <row r="70" spans="1:9" ht="18.75" customHeight="1">
      <c r="A70" s="3" t="str">
        <f>"10522018022615284781918"</f>
        <v>10522018022615284781918</v>
      </c>
      <c r="B70" s="25">
        <v>68</v>
      </c>
      <c r="C70" s="8" t="s">
        <v>8</v>
      </c>
      <c r="D70" s="12" t="str">
        <f t="shared" ref="D70:D77" si="4">"医学检验技术"</f>
        <v>医学检验技术</v>
      </c>
      <c r="E70" s="9" t="str">
        <f>"2018010422"</f>
        <v>2018010422</v>
      </c>
      <c r="F70" s="9">
        <v>47</v>
      </c>
      <c r="G70" s="9">
        <v>88</v>
      </c>
      <c r="H70" s="9">
        <f t="shared" si="3"/>
        <v>75.699999999999989</v>
      </c>
      <c r="I70" s="9"/>
    </row>
    <row r="71" spans="1:9" ht="18.75" customHeight="1">
      <c r="A71" s="3" t="str">
        <f>"10522018022715242682282"</f>
        <v>10522018022715242682282</v>
      </c>
      <c r="B71" s="25">
        <v>69</v>
      </c>
      <c r="C71" s="8" t="s">
        <v>8</v>
      </c>
      <c r="D71" s="12" t="str">
        <f t="shared" si="4"/>
        <v>医学检验技术</v>
      </c>
      <c r="E71" s="9" t="str">
        <f>"2018010419"</f>
        <v>2018010419</v>
      </c>
      <c r="F71" s="9">
        <v>70</v>
      </c>
      <c r="G71" s="9">
        <v>78</v>
      </c>
      <c r="H71" s="9">
        <f t="shared" si="3"/>
        <v>75.599999999999994</v>
      </c>
      <c r="I71" s="9"/>
    </row>
    <row r="72" spans="1:9" ht="18.75" customHeight="1">
      <c r="A72" s="3" t="str">
        <f>"10522018022718465782336"</f>
        <v>10522018022718465782336</v>
      </c>
      <c r="B72" s="25">
        <v>70</v>
      </c>
      <c r="C72" s="8" t="s">
        <v>8</v>
      </c>
      <c r="D72" s="12" t="str">
        <f t="shared" si="4"/>
        <v>医学检验技术</v>
      </c>
      <c r="E72" s="9" t="str">
        <f>"2018010427"</f>
        <v>2018010427</v>
      </c>
      <c r="F72" s="9">
        <v>48</v>
      </c>
      <c r="G72" s="9">
        <v>87</v>
      </c>
      <c r="H72" s="9">
        <f t="shared" si="3"/>
        <v>75.3</v>
      </c>
      <c r="I72" s="9"/>
    </row>
    <row r="73" spans="1:9" ht="18.75" customHeight="1">
      <c r="A73" s="3" t="str">
        <f>"10522018022720121982390"</f>
        <v>10522018022720121982390</v>
      </c>
      <c r="B73" s="25">
        <v>71</v>
      </c>
      <c r="C73" s="8" t="s">
        <v>8</v>
      </c>
      <c r="D73" s="12" t="str">
        <f t="shared" si="4"/>
        <v>医学检验技术</v>
      </c>
      <c r="E73" s="9" t="str">
        <f>"2018010402"</f>
        <v>2018010402</v>
      </c>
      <c r="F73" s="9">
        <v>45</v>
      </c>
      <c r="G73" s="9">
        <v>84</v>
      </c>
      <c r="H73" s="9">
        <f t="shared" si="3"/>
        <v>72.3</v>
      </c>
      <c r="I73" s="9"/>
    </row>
    <row r="74" spans="1:9" ht="18.75" customHeight="1">
      <c r="A74" s="3" t="str">
        <f>"10522018022614362081887"</f>
        <v>10522018022614362081887</v>
      </c>
      <c r="B74" s="25">
        <v>72</v>
      </c>
      <c r="C74" s="8" t="s">
        <v>8</v>
      </c>
      <c r="D74" s="12" t="str">
        <f t="shared" si="4"/>
        <v>医学检验技术</v>
      </c>
      <c r="E74" s="9" t="str">
        <f>"2018010405"</f>
        <v>2018010405</v>
      </c>
      <c r="F74" s="9">
        <v>70.5</v>
      </c>
      <c r="G74" s="9">
        <v>73</v>
      </c>
      <c r="H74" s="9">
        <f t="shared" si="3"/>
        <v>72.25</v>
      </c>
      <c r="I74" s="9"/>
    </row>
    <row r="75" spans="1:9" ht="18.75" customHeight="1">
      <c r="A75" s="3" t="str">
        <f>"10522018022611161781748"</f>
        <v>10522018022611161781748</v>
      </c>
      <c r="B75" s="25">
        <v>73</v>
      </c>
      <c r="C75" s="8" t="s">
        <v>8</v>
      </c>
      <c r="D75" s="12" t="str">
        <f t="shared" si="4"/>
        <v>医学检验技术</v>
      </c>
      <c r="E75" s="9" t="str">
        <f>"2018010417"</f>
        <v>2018010417</v>
      </c>
      <c r="F75" s="9">
        <v>53.5</v>
      </c>
      <c r="G75" s="9">
        <v>80</v>
      </c>
      <c r="H75" s="9">
        <f t="shared" si="3"/>
        <v>72.05</v>
      </c>
      <c r="I75" s="9"/>
    </row>
    <row r="76" spans="1:9" ht="18.75" customHeight="1">
      <c r="A76" s="3" t="str">
        <f>"10522018022610071481650"</f>
        <v>10522018022610071481650</v>
      </c>
      <c r="B76" s="25">
        <v>74</v>
      </c>
      <c r="C76" s="8" t="s">
        <v>8</v>
      </c>
      <c r="D76" s="12" t="str">
        <f t="shared" si="4"/>
        <v>医学检验技术</v>
      </c>
      <c r="E76" s="9" t="str">
        <f>"2018010406"</f>
        <v>2018010406</v>
      </c>
      <c r="F76" s="9">
        <v>60.5</v>
      </c>
      <c r="G76" s="9">
        <v>75</v>
      </c>
      <c r="H76" s="9">
        <f t="shared" si="3"/>
        <v>70.650000000000006</v>
      </c>
      <c r="I76" s="9"/>
    </row>
    <row r="77" spans="1:9" ht="18.75" customHeight="1">
      <c r="A77" s="3" t="str">
        <f>"10522018022619053382025"</f>
        <v>10522018022619053382025</v>
      </c>
      <c r="B77" s="25">
        <v>75</v>
      </c>
      <c r="C77" s="8" t="s">
        <v>8</v>
      </c>
      <c r="D77" s="12" t="str">
        <f t="shared" si="4"/>
        <v>医学检验技术</v>
      </c>
      <c r="E77" s="9" t="str">
        <f>"2018010425"</f>
        <v>2018010425</v>
      </c>
      <c r="F77" s="9">
        <v>53</v>
      </c>
      <c r="G77" s="9">
        <v>78</v>
      </c>
      <c r="H77" s="9">
        <f t="shared" si="3"/>
        <v>70.5</v>
      </c>
      <c r="I77" s="9"/>
    </row>
    <row r="78" spans="1:9" ht="18.75" customHeight="1">
      <c r="B78" s="25">
        <v>76</v>
      </c>
      <c r="C78" s="26" t="s">
        <v>42</v>
      </c>
      <c r="D78" s="28" t="s">
        <v>40</v>
      </c>
      <c r="E78" s="27" t="s">
        <v>41</v>
      </c>
      <c r="F78" s="27">
        <v>39.5</v>
      </c>
      <c r="G78" s="27">
        <v>82</v>
      </c>
      <c r="H78" s="27">
        <v>69.25</v>
      </c>
      <c r="I78" s="9"/>
    </row>
    <row r="79" spans="1:9" ht="18.75" customHeight="1">
      <c r="A79" s="3" t="str">
        <f>"10522018022808354382466"</f>
        <v>10522018022808354382466</v>
      </c>
      <c r="B79" s="25">
        <v>77</v>
      </c>
      <c r="C79" s="8" t="s">
        <v>9</v>
      </c>
      <c r="D79" s="12" t="str">
        <f>"医学影像学"</f>
        <v>医学影像学</v>
      </c>
      <c r="E79" s="9" t="str">
        <f>"2018013807"</f>
        <v>2018013807</v>
      </c>
      <c r="F79" s="9">
        <v>49.5</v>
      </c>
      <c r="G79" s="9">
        <v>79</v>
      </c>
      <c r="H79" s="9">
        <f t="shared" si="3"/>
        <v>70.149999999999991</v>
      </c>
      <c r="I79" s="9"/>
    </row>
    <row r="80" spans="1:9" ht="18.75" customHeight="1">
      <c r="A80" s="3" t="str">
        <f>"10522018022622081682105"</f>
        <v>10522018022622081682105</v>
      </c>
      <c r="B80" s="25">
        <v>78</v>
      </c>
      <c r="C80" s="8" t="s">
        <v>9</v>
      </c>
      <c r="D80" s="12" t="str">
        <f>"医学影像学"</f>
        <v>医学影像学</v>
      </c>
      <c r="E80" s="9" t="str">
        <f>"2018013802"</f>
        <v>2018013802</v>
      </c>
      <c r="F80" s="9">
        <v>53.5</v>
      </c>
      <c r="G80" s="9">
        <v>77</v>
      </c>
      <c r="H80" s="9">
        <f t="shared" si="3"/>
        <v>69.95</v>
      </c>
      <c r="I80" s="9"/>
    </row>
    <row r="81" spans="1:9" ht="18.75" customHeight="1">
      <c r="A81" s="3" t="str">
        <f>"10522018022612402681803"</f>
        <v>10522018022612402681803</v>
      </c>
      <c r="B81" s="25">
        <v>79</v>
      </c>
      <c r="C81" s="8" t="s">
        <v>9</v>
      </c>
      <c r="D81" s="12" t="str">
        <f>"医学影像学"</f>
        <v>医学影像学</v>
      </c>
      <c r="E81" s="9" t="str">
        <f>"2018013801"</f>
        <v>2018013801</v>
      </c>
      <c r="F81" s="9">
        <v>62</v>
      </c>
      <c r="G81" s="9">
        <v>73</v>
      </c>
      <c r="H81" s="9">
        <f t="shared" si="3"/>
        <v>69.699999999999989</v>
      </c>
      <c r="I81" s="9"/>
    </row>
    <row r="82" spans="1:9" ht="18.75" customHeight="1">
      <c r="A82" s="3" t="str">
        <f>"10522018022810445782522"</f>
        <v>10522018022810445782522</v>
      </c>
      <c r="B82" s="25">
        <v>80</v>
      </c>
      <c r="C82" s="8" t="s">
        <v>9</v>
      </c>
      <c r="D82" s="12" t="str">
        <f>"医学影像学"</f>
        <v>医学影像学</v>
      </c>
      <c r="E82" s="9" t="str">
        <f>"2018013803"</f>
        <v>2018013803</v>
      </c>
      <c r="F82" s="9">
        <v>45</v>
      </c>
      <c r="G82" s="9">
        <v>80</v>
      </c>
      <c r="H82" s="9">
        <f t="shared" si="3"/>
        <v>69.5</v>
      </c>
      <c r="I82" s="9"/>
    </row>
    <row r="83" spans="1:9" ht="18.75" customHeight="1">
      <c r="A83" s="3" t="str">
        <f>"10522018022713455282242"</f>
        <v>10522018022713455282242</v>
      </c>
      <c r="B83" s="25">
        <v>81</v>
      </c>
      <c r="C83" s="8" t="s">
        <v>9</v>
      </c>
      <c r="D83" s="12" t="str">
        <f>"医学影像学"</f>
        <v>医学影像学</v>
      </c>
      <c r="E83" s="9" t="str">
        <f>"2018013804"</f>
        <v>2018013804</v>
      </c>
      <c r="F83" s="9">
        <v>47</v>
      </c>
      <c r="G83" s="9">
        <v>75</v>
      </c>
      <c r="H83" s="9">
        <f t="shared" si="3"/>
        <v>66.599999999999994</v>
      </c>
      <c r="I83" s="9"/>
    </row>
    <row r="84" spans="1:9" ht="18.75" customHeight="1">
      <c r="A84" s="3" t="str">
        <f>"10522018022712075482211"</f>
        <v>10522018022712075482211</v>
      </c>
      <c r="B84" s="25">
        <v>82</v>
      </c>
      <c r="C84" s="8" t="s">
        <v>10</v>
      </c>
      <c r="D84" s="12" t="str">
        <f>"医学影像技术"</f>
        <v>医学影像技术</v>
      </c>
      <c r="E84" s="9" t="str">
        <f>"2018013811"</f>
        <v>2018013811</v>
      </c>
      <c r="F84" s="9">
        <v>73</v>
      </c>
      <c r="G84" s="9">
        <v>73</v>
      </c>
      <c r="H84" s="9">
        <f t="shared" si="3"/>
        <v>73</v>
      </c>
      <c r="I84" s="9"/>
    </row>
    <row r="85" spans="1:9" ht="18.75" customHeight="1">
      <c r="A85" s="3" t="str">
        <f>"10522018022819461682717"</f>
        <v>10522018022819461682717</v>
      </c>
      <c r="B85" s="25">
        <v>83</v>
      </c>
      <c r="C85" s="8" t="s">
        <v>11</v>
      </c>
      <c r="D85" s="12" t="str">
        <f>"药学"</f>
        <v>药学</v>
      </c>
      <c r="E85" s="9" t="str">
        <f>"2018013718"</f>
        <v>2018013718</v>
      </c>
      <c r="F85" s="9">
        <v>60.5</v>
      </c>
      <c r="G85" s="9">
        <v>89</v>
      </c>
      <c r="H85" s="9">
        <f t="shared" si="3"/>
        <v>80.449999999999989</v>
      </c>
      <c r="I85" s="9"/>
    </row>
    <row r="86" spans="1:9" ht="18.75" customHeight="1">
      <c r="A86" s="3" t="str">
        <f>"10522018022711434082199"</f>
        <v>10522018022711434082199</v>
      </c>
      <c r="B86" s="25">
        <v>84</v>
      </c>
      <c r="C86" s="8" t="s">
        <v>11</v>
      </c>
      <c r="D86" s="12" t="str">
        <f>"药学"</f>
        <v>药学</v>
      </c>
      <c r="E86" s="9" t="str">
        <f>"2018013729"</f>
        <v>2018013729</v>
      </c>
      <c r="F86" s="9">
        <v>73.5</v>
      </c>
      <c r="G86" s="9">
        <v>83</v>
      </c>
      <c r="H86" s="9">
        <f t="shared" si="3"/>
        <v>80.149999999999991</v>
      </c>
      <c r="I86" s="9"/>
    </row>
    <row r="87" spans="1:9" ht="18.75" customHeight="1">
      <c r="A87" s="3" t="str">
        <f>"10522018022609113681587"</f>
        <v>10522018022609113681587</v>
      </c>
      <c r="B87" s="25">
        <v>85</v>
      </c>
      <c r="C87" s="8" t="s">
        <v>11</v>
      </c>
      <c r="D87" s="12" t="str">
        <f>"药学"</f>
        <v>药学</v>
      </c>
      <c r="E87" s="9" t="str">
        <f>"2018013716"</f>
        <v>2018013716</v>
      </c>
      <c r="F87" s="9">
        <v>68</v>
      </c>
      <c r="G87" s="9">
        <v>81</v>
      </c>
      <c r="H87" s="9">
        <f t="shared" si="3"/>
        <v>77.099999999999994</v>
      </c>
      <c r="I87" s="9"/>
    </row>
    <row r="88" spans="1:9" ht="18.75" customHeight="1">
      <c r="A88" s="3" t="str">
        <f>"10522018022610554481722"</f>
        <v>10522018022610554481722</v>
      </c>
      <c r="B88" s="25">
        <v>86</v>
      </c>
      <c r="C88" s="8" t="s">
        <v>12</v>
      </c>
      <c r="D88" s="12" t="str">
        <f t="shared" ref="D88:D100" si="5">"护理学"</f>
        <v>护理学</v>
      </c>
      <c r="E88" s="9" t="str">
        <f>"2018010514"</f>
        <v>2018010514</v>
      </c>
      <c r="F88" s="9">
        <v>75.5</v>
      </c>
      <c r="G88" s="9">
        <v>104</v>
      </c>
      <c r="H88" s="9">
        <f t="shared" si="3"/>
        <v>95.449999999999989</v>
      </c>
      <c r="I88" s="9"/>
    </row>
    <row r="89" spans="1:9" ht="18.75" customHeight="1">
      <c r="A89" s="3" t="str">
        <f>"10522018022709513382156"</f>
        <v>10522018022709513382156</v>
      </c>
      <c r="B89" s="25">
        <v>87</v>
      </c>
      <c r="C89" s="8" t="s">
        <v>12</v>
      </c>
      <c r="D89" s="12" t="str">
        <f t="shared" si="5"/>
        <v>护理学</v>
      </c>
      <c r="E89" s="9" t="str">
        <f>"2018010511"</f>
        <v>2018010511</v>
      </c>
      <c r="F89" s="9">
        <v>56</v>
      </c>
      <c r="G89" s="9">
        <v>107</v>
      </c>
      <c r="H89" s="9">
        <f t="shared" si="3"/>
        <v>91.699999999999989</v>
      </c>
      <c r="I89" s="9"/>
    </row>
    <row r="90" spans="1:9" ht="18.75" customHeight="1">
      <c r="A90" s="3" t="str">
        <f>"10522018022614151281875"</f>
        <v>10522018022614151281875</v>
      </c>
      <c r="B90" s="25">
        <v>88</v>
      </c>
      <c r="C90" s="8" t="s">
        <v>12</v>
      </c>
      <c r="D90" s="12" t="str">
        <f t="shared" si="5"/>
        <v>护理学</v>
      </c>
      <c r="E90" s="9" t="str">
        <f>"2018010505"</f>
        <v>2018010505</v>
      </c>
      <c r="F90" s="9">
        <v>42</v>
      </c>
      <c r="G90" s="9">
        <v>107</v>
      </c>
      <c r="H90" s="9">
        <f t="shared" si="3"/>
        <v>87.499999999999986</v>
      </c>
      <c r="I90" s="9"/>
    </row>
    <row r="91" spans="1:9" ht="18.75" customHeight="1">
      <c r="A91" s="3" t="str">
        <f>"10522018022713594582248"</f>
        <v>10522018022713594582248</v>
      </c>
      <c r="B91" s="25">
        <v>89</v>
      </c>
      <c r="C91" s="8" t="s">
        <v>12</v>
      </c>
      <c r="D91" s="12" t="str">
        <f t="shared" si="5"/>
        <v>护理学</v>
      </c>
      <c r="E91" s="9" t="str">
        <f>"2018010501"</f>
        <v>2018010501</v>
      </c>
      <c r="F91" s="9">
        <v>52</v>
      </c>
      <c r="G91" s="9">
        <v>102</v>
      </c>
      <c r="H91" s="9">
        <f t="shared" si="3"/>
        <v>86.999999999999986</v>
      </c>
      <c r="I91" s="9"/>
    </row>
    <row r="92" spans="1:9" ht="18.75" customHeight="1">
      <c r="A92" s="3" t="str">
        <f>"10522018022619514682038"</f>
        <v>10522018022619514682038</v>
      </c>
      <c r="B92" s="25">
        <v>90</v>
      </c>
      <c r="C92" s="8" t="s">
        <v>12</v>
      </c>
      <c r="D92" s="12" t="str">
        <f t="shared" si="5"/>
        <v>护理学</v>
      </c>
      <c r="E92" s="9" t="str">
        <f>"2018010508"</f>
        <v>2018010508</v>
      </c>
      <c r="F92" s="9">
        <v>55</v>
      </c>
      <c r="G92" s="9">
        <v>100</v>
      </c>
      <c r="H92" s="9">
        <f t="shared" si="3"/>
        <v>86.5</v>
      </c>
      <c r="I92" s="9"/>
    </row>
    <row r="93" spans="1:9" ht="18.75" customHeight="1">
      <c r="A93" s="3" t="str">
        <f>"10522018022722532082445"</f>
        <v>10522018022722532082445</v>
      </c>
      <c r="B93" s="25">
        <v>91</v>
      </c>
      <c r="C93" s="8" t="s">
        <v>12</v>
      </c>
      <c r="D93" s="12" t="str">
        <f t="shared" si="5"/>
        <v>护理学</v>
      </c>
      <c r="E93" s="9" t="str">
        <f>"2018010520"</f>
        <v>2018010520</v>
      </c>
      <c r="F93" s="9">
        <v>50</v>
      </c>
      <c r="G93" s="9">
        <v>100</v>
      </c>
      <c r="H93" s="9">
        <f t="shared" si="3"/>
        <v>85</v>
      </c>
      <c r="I93" s="9"/>
    </row>
    <row r="94" spans="1:9" ht="18.75" customHeight="1">
      <c r="A94" s="3" t="str">
        <f>"10522018022712433382221"</f>
        <v>10522018022712433382221</v>
      </c>
      <c r="B94" s="25">
        <v>92</v>
      </c>
      <c r="C94" s="8" t="s">
        <v>12</v>
      </c>
      <c r="D94" s="12" t="str">
        <f t="shared" si="5"/>
        <v>护理学</v>
      </c>
      <c r="E94" s="9" t="str">
        <f>"2018010506"</f>
        <v>2018010506</v>
      </c>
      <c r="F94" s="9">
        <v>49.5</v>
      </c>
      <c r="G94" s="9">
        <v>100</v>
      </c>
      <c r="H94" s="9">
        <f t="shared" si="3"/>
        <v>84.85</v>
      </c>
      <c r="I94" s="9"/>
    </row>
    <row r="95" spans="1:9" ht="18.75" customHeight="1">
      <c r="A95" s="3" t="str">
        <f>"10522018022613093681829"</f>
        <v>10522018022613093681829</v>
      </c>
      <c r="B95" s="25">
        <v>93</v>
      </c>
      <c r="C95" s="8" t="s">
        <v>12</v>
      </c>
      <c r="D95" s="12" t="str">
        <f t="shared" si="5"/>
        <v>护理学</v>
      </c>
      <c r="E95" s="9" t="str">
        <f>"2018010517"</f>
        <v>2018010517</v>
      </c>
      <c r="F95" s="9">
        <v>41.5</v>
      </c>
      <c r="G95" s="9">
        <v>96</v>
      </c>
      <c r="H95" s="9">
        <f t="shared" si="3"/>
        <v>79.649999999999991</v>
      </c>
      <c r="I95" s="9"/>
    </row>
    <row r="96" spans="1:9" ht="18.75" customHeight="1">
      <c r="A96" s="3" t="str">
        <f>"10522018022621205282086"</f>
        <v>10522018022621205282086</v>
      </c>
      <c r="B96" s="25">
        <v>94</v>
      </c>
      <c r="C96" s="8" t="s">
        <v>12</v>
      </c>
      <c r="D96" s="12" t="str">
        <f t="shared" si="5"/>
        <v>护理学</v>
      </c>
      <c r="E96" s="9" t="str">
        <f>"2018010504"</f>
        <v>2018010504</v>
      </c>
      <c r="F96" s="9">
        <v>47</v>
      </c>
      <c r="G96" s="9">
        <v>91</v>
      </c>
      <c r="H96" s="9">
        <f t="shared" si="3"/>
        <v>77.8</v>
      </c>
      <c r="I96" s="9"/>
    </row>
    <row r="97" spans="1:9" ht="18.75" customHeight="1">
      <c r="A97" s="3" t="str">
        <f>"10522018022719000482350"</f>
        <v>10522018022719000482350</v>
      </c>
      <c r="B97" s="25">
        <v>95</v>
      </c>
      <c r="C97" s="8" t="s">
        <v>12</v>
      </c>
      <c r="D97" s="12" t="str">
        <f t="shared" si="5"/>
        <v>护理学</v>
      </c>
      <c r="E97" s="9" t="str">
        <f>"2018010522"</f>
        <v>2018010522</v>
      </c>
      <c r="F97" s="9">
        <v>53</v>
      </c>
      <c r="G97" s="9">
        <v>87</v>
      </c>
      <c r="H97" s="9">
        <f t="shared" si="3"/>
        <v>76.8</v>
      </c>
      <c r="I97" s="9"/>
    </row>
    <row r="98" spans="1:9" ht="18.75" customHeight="1">
      <c r="A98" s="3" t="str">
        <f>"10522018022615550881936"</f>
        <v>10522018022615550881936</v>
      </c>
      <c r="B98" s="25">
        <v>96</v>
      </c>
      <c r="C98" s="8" t="s">
        <v>12</v>
      </c>
      <c r="D98" s="12" t="str">
        <f t="shared" si="5"/>
        <v>护理学</v>
      </c>
      <c r="E98" s="9" t="str">
        <f>"2018010509"</f>
        <v>2018010509</v>
      </c>
      <c r="F98" s="9">
        <v>62.5</v>
      </c>
      <c r="G98" s="9">
        <v>81</v>
      </c>
      <c r="H98" s="9">
        <f t="shared" si="3"/>
        <v>75.449999999999989</v>
      </c>
      <c r="I98" s="9"/>
    </row>
    <row r="99" spans="1:9" ht="18.75" customHeight="1">
      <c r="A99" s="3" t="str">
        <f>"10522018022610415281698"</f>
        <v>10522018022610415281698</v>
      </c>
      <c r="B99" s="25">
        <v>97</v>
      </c>
      <c r="C99" s="8" t="s">
        <v>12</v>
      </c>
      <c r="D99" s="12" t="str">
        <f t="shared" si="5"/>
        <v>护理学</v>
      </c>
      <c r="E99" s="9" t="str">
        <f>"2018010515"</f>
        <v>2018010515</v>
      </c>
      <c r="F99" s="9">
        <v>55.5</v>
      </c>
      <c r="G99" s="9">
        <v>81</v>
      </c>
      <c r="H99" s="9">
        <f t="shared" si="3"/>
        <v>73.349999999999994</v>
      </c>
      <c r="I99" s="9"/>
    </row>
    <row r="100" spans="1:9" ht="18.75" customHeight="1">
      <c r="A100" s="3" t="str">
        <f>"10522018022809443182491"</f>
        <v>10522018022809443182491</v>
      </c>
      <c r="B100" s="25">
        <v>98</v>
      </c>
      <c r="C100" s="8" t="s">
        <v>12</v>
      </c>
      <c r="D100" s="12" t="str">
        <f t="shared" si="5"/>
        <v>护理学</v>
      </c>
      <c r="E100" s="9" t="str">
        <f>"2018010513"</f>
        <v>2018010513</v>
      </c>
      <c r="F100" s="9">
        <v>60</v>
      </c>
      <c r="G100" s="9">
        <v>78</v>
      </c>
      <c r="H100" s="9">
        <f t="shared" si="3"/>
        <v>72.599999999999994</v>
      </c>
      <c r="I100" s="9"/>
    </row>
    <row r="101" spans="1:9" ht="18.75" customHeight="1">
      <c r="A101" s="3" t="str">
        <f>"10522018022610411181696"</f>
        <v>10522018022610411181696</v>
      </c>
      <c r="B101" s="25">
        <v>99</v>
      </c>
      <c r="C101" s="8" t="s">
        <v>13</v>
      </c>
      <c r="D101" s="12" t="str">
        <f>"护理"</f>
        <v>护理</v>
      </c>
      <c r="E101" s="9" t="str">
        <f>"2018011607"</f>
        <v>2018011607</v>
      </c>
      <c r="F101" s="9">
        <v>62.5</v>
      </c>
      <c r="G101" s="9">
        <v>108</v>
      </c>
      <c r="H101" s="9">
        <f t="shared" si="3"/>
        <v>94.35</v>
      </c>
      <c r="I101" s="9"/>
    </row>
    <row r="102" spans="1:9" ht="18.75" customHeight="1">
      <c r="A102" s="3" t="str">
        <f>"10522018022708305882130"</f>
        <v>10522018022708305882130</v>
      </c>
      <c r="B102" s="25">
        <v>100</v>
      </c>
      <c r="C102" s="8" t="s">
        <v>13</v>
      </c>
      <c r="D102" s="12" t="str">
        <f>"护理"</f>
        <v>护理</v>
      </c>
      <c r="E102" s="9" t="str">
        <f>"2018010816"</f>
        <v>2018010816</v>
      </c>
      <c r="F102" s="9">
        <v>65.5</v>
      </c>
      <c r="G102" s="9">
        <v>103</v>
      </c>
      <c r="H102" s="9">
        <f t="shared" si="3"/>
        <v>91.75</v>
      </c>
      <c r="I102" s="9"/>
    </row>
    <row r="103" spans="1:9" ht="18.75" customHeight="1">
      <c r="A103" s="3" t="str">
        <f>"10522018022612212881786"</f>
        <v>10522018022612212881786</v>
      </c>
      <c r="B103" s="25">
        <v>101</v>
      </c>
      <c r="C103" s="8" t="s">
        <v>13</v>
      </c>
      <c r="D103" s="12" t="str">
        <f>"护理专业"</f>
        <v>护理专业</v>
      </c>
      <c r="E103" s="9" t="str">
        <f>"2018011113"</f>
        <v>2018011113</v>
      </c>
      <c r="F103" s="9">
        <v>50</v>
      </c>
      <c r="G103" s="9">
        <v>109</v>
      </c>
      <c r="H103" s="9">
        <f t="shared" si="3"/>
        <v>91.3</v>
      </c>
      <c r="I103" s="9"/>
    </row>
    <row r="104" spans="1:9" ht="18.75" customHeight="1">
      <c r="A104" s="3" t="str">
        <f>"10522018022710291182177"</f>
        <v>10522018022710291182177</v>
      </c>
      <c r="B104" s="25">
        <v>102</v>
      </c>
      <c r="C104" s="8" t="s">
        <v>13</v>
      </c>
      <c r="D104" s="12" t="str">
        <f t="shared" ref="D104:D141" si="6">"护理"</f>
        <v>护理</v>
      </c>
      <c r="E104" s="9" t="str">
        <f>"2018010728"</f>
        <v>2018010728</v>
      </c>
      <c r="F104" s="9">
        <v>78.5</v>
      </c>
      <c r="G104" s="9">
        <v>96</v>
      </c>
      <c r="H104" s="9">
        <f t="shared" si="3"/>
        <v>90.749999999999986</v>
      </c>
      <c r="I104" s="9"/>
    </row>
    <row r="105" spans="1:9" ht="18.75" customHeight="1">
      <c r="A105" s="3" t="str">
        <f>"10522018022609124881589"</f>
        <v>10522018022609124881589</v>
      </c>
      <c r="B105" s="25">
        <v>103</v>
      </c>
      <c r="C105" s="8" t="s">
        <v>13</v>
      </c>
      <c r="D105" s="12" t="str">
        <f t="shared" si="6"/>
        <v>护理</v>
      </c>
      <c r="E105" s="9" t="str">
        <f>"2018010622"</f>
        <v>2018010622</v>
      </c>
      <c r="F105" s="9">
        <v>63</v>
      </c>
      <c r="G105" s="9">
        <v>102</v>
      </c>
      <c r="H105" s="9">
        <f t="shared" si="3"/>
        <v>90.299999999999983</v>
      </c>
      <c r="I105" s="9"/>
    </row>
    <row r="106" spans="1:9" ht="18.75" customHeight="1">
      <c r="A106" s="3" t="str">
        <f>"10522018022720283782395"</f>
        <v>10522018022720283782395</v>
      </c>
      <c r="B106" s="25">
        <v>104</v>
      </c>
      <c r="C106" s="8" t="s">
        <v>13</v>
      </c>
      <c r="D106" s="12" t="str">
        <f t="shared" si="6"/>
        <v>护理</v>
      </c>
      <c r="E106" s="9" t="str">
        <f>"2018011007"</f>
        <v>2018011007</v>
      </c>
      <c r="F106" s="9">
        <v>62</v>
      </c>
      <c r="G106" s="9">
        <v>102</v>
      </c>
      <c r="H106" s="9">
        <f t="shared" si="3"/>
        <v>89.999999999999986</v>
      </c>
      <c r="I106" s="9"/>
    </row>
    <row r="107" spans="1:9" ht="18.75" customHeight="1">
      <c r="A107" s="3" t="str">
        <f>"10522018022609583581641"</f>
        <v>10522018022609583581641</v>
      </c>
      <c r="B107" s="25">
        <v>105</v>
      </c>
      <c r="C107" s="8" t="s">
        <v>13</v>
      </c>
      <c r="D107" s="12" t="str">
        <f t="shared" si="6"/>
        <v>护理</v>
      </c>
      <c r="E107" s="9" t="str">
        <f>"2018012108"</f>
        <v>2018012108</v>
      </c>
      <c r="F107" s="9">
        <v>50.5</v>
      </c>
      <c r="G107" s="9">
        <v>106</v>
      </c>
      <c r="H107" s="9">
        <f t="shared" si="3"/>
        <v>89.35</v>
      </c>
      <c r="I107" s="9"/>
    </row>
    <row r="108" spans="1:9" ht="18.75" customHeight="1">
      <c r="A108" s="3" t="str">
        <f>"10522018022612383781800"</f>
        <v>10522018022612383781800</v>
      </c>
      <c r="B108" s="25">
        <v>106</v>
      </c>
      <c r="C108" s="8" t="s">
        <v>13</v>
      </c>
      <c r="D108" s="12" t="str">
        <f t="shared" si="6"/>
        <v>护理</v>
      </c>
      <c r="E108" s="9" t="str">
        <f>"2018011903"</f>
        <v>2018011903</v>
      </c>
      <c r="F108" s="9">
        <v>55.5</v>
      </c>
      <c r="G108" s="9">
        <v>103</v>
      </c>
      <c r="H108" s="9">
        <f t="shared" si="3"/>
        <v>88.75</v>
      </c>
      <c r="I108" s="9"/>
    </row>
    <row r="109" spans="1:9" ht="18.75" customHeight="1">
      <c r="A109" s="3" t="str">
        <f>"10522018022616132881947"</f>
        <v>10522018022616132881947</v>
      </c>
      <c r="B109" s="25">
        <v>107</v>
      </c>
      <c r="C109" s="8" t="s">
        <v>13</v>
      </c>
      <c r="D109" s="12" t="str">
        <f t="shared" si="6"/>
        <v>护理</v>
      </c>
      <c r="E109" s="9" t="str">
        <f>"2018012009"</f>
        <v>2018012009</v>
      </c>
      <c r="F109" s="9">
        <v>55</v>
      </c>
      <c r="G109" s="9">
        <v>103</v>
      </c>
      <c r="H109" s="9">
        <f t="shared" si="3"/>
        <v>88.6</v>
      </c>
      <c r="I109" s="9"/>
    </row>
    <row r="110" spans="1:9" ht="18.75" customHeight="1">
      <c r="A110" s="3" t="str">
        <f>"10522018022612233181788"</f>
        <v>10522018022612233181788</v>
      </c>
      <c r="B110" s="25">
        <v>108</v>
      </c>
      <c r="C110" s="8" t="s">
        <v>13</v>
      </c>
      <c r="D110" s="12" t="str">
        <f t="shared" si="6"/>
        <v>护理</v>
      </c>
      <c r="E110" s="9" t="str">
        <f>"2018011717"</f>
        <v>2018011717</v>
      </c>
      <c r="F110" s="9">
        <v>65</v>
      </c>
      <c r="G110" s="9">
        <v>98</v>
      </c>
      <c r="H110" s="9">
        <f t="shared" si="3"/>
        <v>88.1</v>
      </c>
      <c r="I110" s="9"/>
    </row>
    <row r="111" spans="1:9" ht="18.75" customHeight="1">
      <c r="A111" s="3" t="str">
        <f>"10522018022619002582023"</f>
        <v>10522018022619002582023</v>
      </c>
      <c r="B111" s="25">
        <v>109</v>
      </c>
      <c r="C111" s="8" t="s">
        <v>13</v>
      </c>
      <c r="D111" s="12" t="str">
        <f t="shared" si="6"/>
        <v>护理</v>
      </c>
      <c r="E111" s="9" t="str">
        <f>"2018011516"</f>
        <v>2018011516</v>
      </c>
      <c r="F111" s="9">
        <v>46.5</v>
      </c>
      <c r="G111" s="9">
        <v>105</v>
      </c>
      <c r="H111" s="9">
        <f t="shared" si="3"/>
        <v>87.45</v>
      </c>
      <c r="I111" s="9"/>
    </row>
    <row r="112" spans="1:9" ht="18.75" customHeight="1">
      <c r="A112" s="3" t="str">
        <f>"10522018022811161382539"</f>
        <v>10522018022811161382539</v>
      </c>
      <c r="B112" s="25">
        <v>110</v>
      </c>
      <c r="C112" s="8" t="s">
        <v>13</v>
      </c>
      <c r="D112" s="12" t="str">
        <f t="shared" si="6"/>
        <v>护理</v>
      </c>
      <c r="E112" s="9" t="str">
        <f>"2018011622"</f>
        <v>2018011622</v>
      </c>
      <c r="F112" s="9">
        <v>47</v>
      </c>
      <c r="G112" s="9">
        <v>104</v>
      </c>
      <c r="H112" s="9">
        <f t="shared" si="3"/>
        <v>86.899999999999991</v>
      </c>
      <c r="I112" s="9"/>
    </row>
    <row r="113" spans="1:9" ht="18.75" customHeight="1">
      <c r="A113" s="3" t="str">
        <f>"10522018022717112282313"</f>
        <v>10522018022717112282313</v>
      </c>
      <c r="B113" s="25">
        <v>111</v>
      </c>
      <c r="C113" s="8" t="s">
        <v>13</v>
      </c>
      <c r="D113" s="12" t="str">
        <f t="shared" si="6"/>
        <v>护理</v>
      </c>
      <c r="E113" s="9" t="str">
        <f>"2018012102"</f>
        <v>2018012102</v>
      </c>
      <c r="F113" s="9">
        <v>54</v>
      </c>
      <c r="G113" s="9">
        <v>101</v>
      </c>
      <c r="H113" s="9">
        <f t="shared" si="3"/>
        <v>86.899999999999991</v>
      </c>
      <c r="I113" s="9"/>
    </row>
    <row r="114" spans="1:9" ht="18.75" customHeight="1">
      <c r="A114" s="3" t="str">
        <f>"10522018022613381481853"</f>
        <v>10522018022613381481853</v>
      </c>
      <c r="B114" s="25">
        <v>112</v>
      </c>
      <c r="C114" s="8" t="s">
        <v>13</v>
      </c>
      <c r="D114" s="12" t="str">
        <f t="shared" si="6"/>
        <v>护理</v>
      </c>
      <c r="E114" s="9" t="str">
        <f>"2018011829"</f>
        <v>2018011829</v>
      </c>
      <c r="F114" s="9">
        <v>53</v>
      </c>
      <c r="G114" s="9">
        <v>101</v>
      </c>
      <c r="H114" s="9">
        <f t="shared" si="3"/>
        <v>86.6</v>
      </c>
      <c r="I114" s="9"/>
    </row>
    <row r="115" spans="1:9" ht="18.75" customHeight="1">
      <c r="A115" s="3" t="str">
        <f>"10522018022710345082179"</f>
        <v>10522018022710345082179</v>
      </c>
      <c r="B115" s="25">
        <v>113</v>
      </c>
      <c r="C115" s="8" t="s">
        <v>13</v>
      </c>
      <c r="D115" s="12" t="str">
        <f t="shared" si="6"/>
        <v>护理</v>
      </c>
      <c r="E115" s="9" t="str">
        <f>"2018011502"</f>
        <v>2018011502</v>
      </c>
      <c r="F115" s="9">
        <v>55</v>
      </c>
      <c r="G115" s="9">
        <v>100</v>
      </c>
      <c r="H115" s="9">
        <f t="shared" si="3"/>
        <v>86.5</v>
      </c>
      <c r="I115" s="9"/>
    </row>
    <row r="116" spans="1:9" ht="18.75" customHeight="1">
      <c r="A116" s="3" t="str">
        <f>"10522018022718571982348"</f>
        <v>10522018022718571982348</v>
      </c>
      <c r="B116" s="25">
        <v>114</v>
      </c>
      <c r="C116" s="8" t="s">
        <v>13</v>
      </c>
      <c r="D116" s="12" t="str">
        <f t="shared" si="6"/>
        <v>护理</v>
      </c>
      <c r="E116" s="9" t="str">
        <f>"2018010928"</f>
        <v>2018010928</v>
      </c>
      <c r="F116" s="9">
        <v>52.5</v>
      </c>
      <c r="G116" s="9">
        <v>101</v>
      </c>
      <c r="H116" s="9">
        <f t="shared" si="3"/>
        <v>86.449999999999989</v>
      </c>
      <c r="I116" s="9"/>
    </row>
    <row r="117" spans="1:9" ht="18.75" customHeight="1">
      <c r="A117" s="3" t="str">
        <f>"10522018022615545281935"</f>
        <v>10522018022615545281935</v>
      </c>
      <c r="B117" s="25">
        <v>115</v>
      </c>
      <c r="C117" s="8" t="s">
        <v>13</v>
      </c>
      <c r="D117" s="12" t="str">
        <f t="shared" si="6"/>
        <v>护理</v>
      </c>
      <c r="E117" s="9" t="str">
        <f>"2018011727"</f>
        <v>2018011727</v>
      </c>
      <c r="F117" s="9">
        <v>40</v>
      </c>
      <c r="G117" s="9">
        <v>106</v>
      </c>
      <c r="H117" s="9">
        <f t="shared" si="3"/>
        <v>86.199999999999989</v>
      </c>
      <c r="I117" s="9"/>
    </row>
    <row r="118" spans="1:9" ht="18.75" customHeight="1">
      <c r="A118" s="3" t="str">
        <f>"10522018022712175482217"</f>
        <v>10522018022712175482217</v>
      </c>
      <c r="B118" s="25">
        <v>116</v>
      </c>
      <c r="C118" s="8" t="s">
        <v>13</v>
      </c>
      <c r="D118" s="12" t="str">
        <f t="shared" si="6"/>
        <v>护理</v>
      </c>
      <c r="E118" s="9" t="str">
        <f>"2018011311"</f>
        <v>2018011311</v>
      </c>
      <c r="F118" s="9">
        <v>53</v>
      </c>
      <c r="G118" s="9">
        <v>100</v>
      </c>
      <c r="H118" s="9">
        <f t="shared" si="3"/>
        <v>85.9</v>
      </c>
      <c r="I118" s="9"/>
    </row>
    <row r="119" spans="1:9" ht="18.75" customHeight="1">
      <c r="A119" s="3" t="str">
        <f>"10522018030118251682989"</f>
        <v>10522018030118251682989</v>
      </c>
      <c r="B119" s="25">
        <v>117</v>
      </c>
      <c r="C119" s="8" t="s">
        <v>13</v>
      </c>
      <c r="D119" s="12" t="str">
        <f t="shared" si="6"/>
        <v>护理</v>
      </c>
      <c r="E119" s="9" t="str">
        <f>"2018012115"</f>
        <v>2018012115</v>
      </c>
      <c r="F119" s="9">
        <v>53</v>
      </c>
      <c r="G119" s="9">
        <v>100</v>
      </c>
      <c r="H119" s="9">
        <f t="shared" si="3"/>
        <v>85.9</v>
      </c>
      <c r="I119" s="9"/>
    </row>
    <row r="120" spans="1:9" ht="18.75" customHeight="1">
      <c r="A120" s="3" t="str">
        <f>"10522018022720371882401"</f>
        <v>10522018022720371882401</v>
      </c>
      <c r="B120" s="25">
        <v>118</v>
      </c>
      <c r="C120" s="8" t="s">
        <v>13</v>
      </c>
      <c r="D120" s="12" t="str">
        <f t="shared" si="6"/>
        <v>护理</v>
      </c>
      <c r="E120" s="9" t="str">
        <f>"2018010804"</f>
        <v>2018010804</v>
      </c>
      <c r="F120" s="9">
        <v>45</v>
      </c>
      <c r="G120" s="9">
        <v>103</v>
      </c>
      <c r="H120" s="9">
        <f t="shared" ref="H120:H178" si="7">F120*0.3+G120*0.7</f>
        <v>85.6</v>
      </c>
      <c r="I120" s="9"/>
    </row>
    <row r="121" spans="1:9" ht="18.75" customHeight="1">
      <c r="A121" s="3" t="str">
        <f>"10522018022712171482216"</f>
        <v>10522018022712171482216</v>
      </c>
      <c r="B121" s="25">
        <v>119</v>
      </c>
      <c r="C121" s="8" t="s">
        <v>13</v>
      </c>
      <c r="D121" s="12" t="str">
        <f t="shared" si="6"/>
        <v>护理</v>
      </c>
      <c r="E121" s="9" t="str">
        <f>"2018011813"</f>
        <v>2018011813</v>
      </c>
      <c r="F121" s="9">
        <v>51.5</v>
      </c>
      <c r="G121" s="9">
        <v>100</v>
      </c>
      <c r="H121" s="9">
        <f t="shared" si="7"/>
        <v>85.45</v>
      </c>
      <c r="I121" s="9"/>
    </row>
    <row r="122" spans="1:9" ht="18.75" customHeight="1">
      <c r="A122" s="3" t="str">
        <f>"10522018022612560881819"</f>
        <v>10522018022612560881819</v>
      </c>
      <c r="B122" s="25">
        <v>120</v>
      </c>
      <c r="C122" s="8" t="s">
        <v>13</v>
      </c>
      <c r="D122" s="12" t="str">
        <f t="shared" si="6"/>
        <v>护理</v>
      </c>
      <c r="E122" s="9" t="str">
        <f>"2018011529"</f>
        <v>2018011529</v>
      </c>
      <c r="F122" s="9">
        <v>63</v>
      </c>
      <c r="G122" s="9">
        <v>95</v>
      </c>
      <c r="H122" s="9">
        <f t="shared" si="7"/>
        <v>85.4</v>
      </c>
      <c r="I122" s="9"/>
    </row>
    <row r="123" spans="1:9" ht="18.75" customHeight="1">
      <c r="A123" s="3" t="str">
        <f>"10522018022810421682519"</f>
        <v>10522018022810421682519</v>
      </c>
      <c r="B123" s="25">
        <v>121</v>
      </c>
      <c r="C123" s="8" t="s">
        <v>13</v>
      </c>
      <c r="D123" s="12" t="str">
        <f t="shared" si="6"/>
        <v>护理</v>
      </c>
      <c r="E123" s="9" t="str">
        <f>"2018011425"</f>
        <v>2018011425</v>
      </c>
      <c r="F123" s="9">
        <v>60</v>
      </c>
      <c r="G123" s="9">
        <v>96</v>
      </c>
      <c r="H123" s="9">
        <f t="shared" si="7"/>
        <v>85.199999999999989</v>
      </c>
      <c r="I123" s="9"/>
    </row>
    <row r="124" spans="1:9" ht="18.75" customHeight="1">
      <c r="A124" s="3" t="str">
        <f>"10522018022614102281870"</f>
        <v>10522018022614102281870</v>
      </c>
      <c r="B124" s="25">
        <v>122</v>
      </c>
      <c r="C124" s="8" t="s">
        <v>13</v>
      </c>
      <c r="D124" s="12" t="str">
        <f t="shared" si="6"/>
        <v>护理</v>
      </c>
      <c r="E124" s="9" t="str">
        <f>"2018012027"</f>
        <v>2018012027</v>
      </c>
      <c r="F124" s="9">
        <v>31.5</v>
      </c>
      <c r="G124" s="9">
        <v>108</v>
      </c>
      <c r="H124" s="9">
        <f t="shared" si="7"/>
        <v>85.05</v>
      </c>
      <c r="I124" s="9"/>
    </row>
    <row r="125" spans="1:9" ht="18.75" customHeight="1">
      <c r="A125" s="3" t="str">
        <f>"10522018022621501482098"</f>
        <v>10522018022621501482098</v>
      </c>
      <c r="B125" s="25">
        <v>123</v>
      </c>
      <c r="C125" s="8" t="s">
        <v>13</v>
      </c>
      <c r="D125" s="12" t="str">
        <f t="shared" si="6"/>
        <v>护理</v>
      </c>
      <c r="E125" s="9" t="str">
        <f>"2018010828"</f>
        <v>2018010828</v>
      </c>
      <c r="F125" s="9">
        <v>54.5</v>
      </c>
      <c r="G125" s="9">
        <v>98</v>
      </c>
      <c r="H125" s="9">
        <f t="shared" si="7"/>
        <v>84.949999999999989</v>
      </c>
      <c r="I125" s="9"/>
    </row>
    <row r="126" spans="1:9" ht="18.75" customHeight="1">
      <c r="A126" s="3" t="str">
        <f>"10522018022610485581711"</f>
        <v>10522018022610485581711</v>
      </c>
      <c r="B126" s="25">
        <v>124</v>
      </c>
      <c r="C126" s="8" t="s">
        <v>13</v>
      </c>
      <c r="D126" s="12" t="str">
        <f t="shared" si="6"/>
        <v>护理</v>
      </c>
      <c r="E126" s="9" t="str">
        <f>"2018010825"</f>
        <v>2018010825</v>
      </c>
      <c r="F126" s="9">
        <v>49.5</v>
      </c>
      <c r="G126" s="9">
        <v>100</v>
      </c>
      <c r="H126" s="9">
        <f t="shared" si="7"/>
        <v>84.85</v>
      </c>
      <c r="I126" s="9"/>
    </row>
    <row r="127" spans="1:9" ht="18.75" customHeight="1">
      <c r="A127" s="3" t="str">
        <f>"10522018022612244481790"</f>
        <v>10522018022612244481790</v>
      </c>
      <c r="B127" s="25">
        <v>125</v>
      </c>
      <c r="C127" s="8" t="s">
        <v>13</v>
      </c>
      <c r="D127" s="12" t="str">
        <f t="shared" si="6"/>
        <v>护理</v>
      </c>
      <c r="E127" s="9" t="str">
        <f>"2018011806"</f>
        <v>2018011806</v>
      </c>
      <c r="F127" s="9">
        <v>49.5</v>
      </c>
      <c r="G127" s="9">
        <v>100</v>
      </c>
      <c r="H127" s="9">
        <f t="shared" si="7"/>
        <v>84.85</v>
      </c>
      <c r="I127" s="9"/>
    </row>
    <row r="128" spans="1:9" ht="18.75" customHeight="1">
      <c r="A128" s="3" t="str">
        <f>"10522018022614064181867"</f>
        <v>10522018022614064181867</v>
      </c>
      <c r="B128" s="25">
        <v>126</v>
      </c>
      <c r="C128" s="8" t="s">
        <v>13</v>
      </c>
      <c r="D128" s="12" t="str">
        <f t="shared" si="6"/>
        <v>护理</v>
      </c>
      <c r="E128" s="9" t="str">
        <f>"2018011902"</f>
        <v>2018011902</v>
      </c>
      <c r="F128" s="9">
        <v>36</v>
      </c>
      <c r="G128" s="9">
        <v>105</v>
      </c>
      <c r="H128" s="9">
        <f t="shared" si="7"/>
        <v>84.3</v>
      </c>
      <c r="I128" s="9"/>
    </row>
    <row r="129" spans="1:9" ht="18.75" customHeight="1">
      <c r="A129" s="3" t="str">
        <f>"10522018022721582282435"</f>
        <v>10522018022721582282435</v>
      </c>
      <c r="B129" s="25">
        <v>127</v>
      </c>
      <c r="C129" s="8" t="s">
        <v>13</v>
      </c>
      <c r="D129" s="12" t="str">
        <f t="shared" si="6"/>
        <v>护理</v>
      </c>
      <c r="E129" s="9" t="str">
        <f>"2018011527"</f>
        <v>2018011527</v>
      </c>
      <c r="F129" s="9">
        <v>47.5</v>
      </c>
      <c r="G129" s="9">
        <v>100</v>
      </c>
      <c r="H129" s="9">
        <f t="shared" si="7"/>
        <v>84.25</v>
      </c>
      <c r="I129" s="9"/>
    </row>
    <row r="130" spans="1:9" ht="18.75" customHeight="1">
      <c r="A130" s="3" t="str">
        <f>"10522018022618413082019"</f>
        <v>10522018022618413082019</v>
      </c>
      <c r="B130" s="25">
        <v>128</v>
      </c>
      <c r="C130" s="8" t="s">
        <v>13</v>
      </c>
      <c r="D130" s="12" t="str">
        <f t="shared" si="6"/>
        <v>护理</v>
      </c>
      <c r="E130" s="9" t="str">
        <f>"2018010811"</f>
        <v>2018010811</v>
      </c>
      <c r="F130" s="9">
        <v>52</v>
      </c>
      <c r="G130" s="9">
        <v>98</v>
      </c>
      <c r="H130" s="9">
        <f t="shared" si="7"/>
        <v>84.199999999999989</v>
      </c>
      <c r="I130" s="9"/>
    </row>
    <row r="131" spans="1:9" ht="18.75" customHeight="1">
      <c r="A131" s="3" t="str">
        <f>"10522018022615541481933"</f>
        <v>10522018022615541481933</v>
      </c>
      <c r="B131" s="25">
        <v>129</v>
      </c>
      <c r="C131" s="8" t="s">
        <v>13</v>
      </c>
      <c r="D131" s="12" t="str">
        <f t="shared" si="6"/>
        <v>护理</v>
      </c>
      <c r="E131" s="9" t="str">
        <f>"2018011801"</f>
        <v>2018011801</v>
      </c>
      <c r="F131" s="9">
        <v>44.5</v>
      </c>
      <c r="G131" s="9">
        <v>101</v>
      </c>
      <c r="H131" s="9">
        <f t="shared" si="7"/>
        <v>84.049999999999983</v>
      </c>
      <c r="I131" s="9"/>
    </row>
    <row r="132" spans="1:9" ht="18.75" customHeight="1">
      <c r="A132" s="3" t="str">
        <f>"10522018022610420281699"</f>
        <v>10522018022610420281699</v>
      </c>
      <c r="B132" s="25">
        <v>130</v>
      </c>
      <c r="C132" s="8" t="s">
        <v>13</v>
      </c>
      <c r="D132" s="12" t="str">
        <f t="shared" si="6"/>
        <v>护理</v>
      </c>
      <c r="E132" s="9" t="str">
        <f>"2018010621"</f>
        <v>2018010621</v>
      </c>
      <c r="F132" s="9">
        <v>49</v>
      </c>
      <c r="G132" s="9">
        <v>99</v>
      </c>
      <c r="H132" s="9">
        <f t="shared" si="7"/>
        <v>84</v>
      </c>
      <c r="I132" s="9"/>
    </row>
    <row r="133" spans="1:9" ht="18.75" customHeight="1">
      <c r="A133" s="3" t="str">
        <f>"10522018022816112782647"</f>
        <v>10522018022816112782647</v>
      </c>
      <c r="B133" s="25">
        <v>131</v>
      </c>
      <c r="C133" s="8" t="s">
        <v>13</v>
      </c>
      <c r="D133" s="12" t="str">
        <f t="shared" si="6"/>
        <v>护理</v>
      </c>
      <c r="E133" s="9" t="str">
        <f>"2018011815"</f>
        <v>2018011815</v>
      </c>
      <c r="F133" s="9">
        <v>47.5</v>
      </c>
      <c r="G133" s="9">
        <v>99</v>
      </c>
      <c r="H133" s="9">
        <f t="shared" si="7"/>
        <v>83.55</v>
      </c>
      <c r="I133" s="9"/>
    </row>
    <row r="134" spans="1:9" ht="18.75" customHeight="1">
      <c r="A134" s="3" t="str">
        <f>"10522018022709250782144"</f>
        <v>10522018022709250782144</v>
      </c>
      <c r="B134" s="25">
        <v>132</v>
      </c>
      <c r="C134" s="8" t="s">
        <v>13</v>
      </c>
      <c r="D134" s="12" t="str">
        <f t="shared" si="6"/>
        <v>护理</v>
      </c>
      <c r="E134" s="9" t="str">
        <f>"2018011720"</f>
        <v>2018011720</v>
      </c>
      <c r="F134" s="9">
        <v>68</v>
      </c>
      <c r="G134" s="9">
        <v>90</v>
      </c>
      <c r="H134" s="9">
        <f t="shared" si="7"/>
        <v>83.399999999999991</v>
      </c>
      <c r="I134" s="9"/>
    </row>
    <row r="135" spans="1:9" ht="18.75" customHeight="1">
      <c r="A135" s="3" t="str">
        <f>"10522018022612555981818"</f>
        <v>10522018022612555981818</v>
      </c>
      <c r="B135" s="25">
        <v>133</v>
      </c>
      <c r="C135" s="8" t="s">
        <v>13</v>
      </c>
      <c r="D135" s="12" t="str">
        <f t="shared" si="6"/>
        <v>护理</v>
      </c>
      <c r="E135" s="9" t="str">
        <f>"2018012017"</f>
        <v>2018012017</v>
      </c>
      <c r="F135" s="9">
        <v>42</v>
      </c>
      <c r="G135" s="9">
        <v>101</v>
      </c>
      <c r="H135" s="9">
        <f t="shared" si="7"/>
        <v>83.299999999999983</v>
      </c>
      <c r="I135" s="9"/>
    </row>
    <row r="136" spans="1:9" ht="18.75" customHeight="1">
      <c r="A136" s="3" t="str">
        <f>"10522018022614312981882"</f>
        <v>10522018022614312981882</v>
      </c>
      <c r="B136" s="25">
        <v>134</v>
      </c>
      <c r="C136" s="8" t="s">
        <v>13</v>
      </c>
      <c r="D136" s="12" t="str">
        <f t="shared" si="6"/>
        <v>护理</v>
      </c>
      <c r="E136" s="9" t="str">
        <f>"2018011916"</f>
        <v>2018011916</v>
      </c>
      <c r="F136" s="9">
        <v>53.5</v>
      </c>
      <c r="G136" s="9">
        <v>96</v>
      </c>
      <c r="H136" s="9">
        <f t="shared" si="7"/>
        <v>83.249999999999986</v>
      </c>
      <c r="I136" s="9"/>
    </row>
    <row r="137" spans="1:9" ht="18.75" customHeight="1">
      <c r="A137" s="3" t="str">
        <f>"10522018022713071882228"</f>
        <v>10522018022713071882228</v>
      </c>
      <c r="B137" s="25">
        <v>135</v>
      </c>
      <c r="C137" s="8" t="s">
        <v>13</v>
      </c>
      <c r="D137" s="12" t="str">
        <f t="shared" si="6"/>
        <v>护理</v>
      </c>
      <c r="E137" s="9" t="str">
        <f>"2018012122"</f>
        <v>2018012122</v>
      </c>
      <c r="F137" s="9">
        <v>39.5</v>
      </c>
      <c r="G137" s="9">
        <v>102</v>
      </c>
      <c r="H137" s="9">
        <f t="shared" si="7"/>
        <v>83.249999999999986</v>
      </c>
      <c r="I137" s="9"/>
    </row>
    <row r="138" spans="1:9" ht="18.75" customHeight="1">
      <c r="A138" s="3" t="str">
        <f>"10522018022810281582511"</f>
        <v>10522018022810281582511</v>
      </c>
      <c r="B138" s="25">
        <v>136</v>
      </c>
      <c r="C138" s="8" t="s">
        <v>13</v>
      </c>
      <c r="D138" s="12" t="str">
        <f t="shared" si="6"/>
        <v>护理</v>
      </c>
      <c r="E138" s="9" t="str">
        <f>"2018011013"</f>
        <v>2018011013</v>
      </c>
      <c r="F138" s="9">
        <v>53</v>
      </c>
      <c r="G138" s="9">
        <v>96</v>
      </c>
      <c r="H138" s="9">
        <f t="shared" si="7"/>
        <v>83.1</v>
      </c>
      <c r="I138" s="9"/>
    </row>
    <row r="139" spans="1:9" ht="18.75" customHeight="1">
      <c r="A139" s="3" t="str">
        <f>"10522018022610053081648"</f>
        <v>10522018022610053081648</v>
      </c>
      <c r="B139" s="25">
        <v>137</v>
      </c>
      <c r="C139" s="8" t="s">
        <v>13</v>
      </c>
      <c r="D139" s="12" t="str">
        <f t="shared" si="6"/>
        <v>护理</v>
      </c>
      <c r="E139" s="9" t="str">
        <f>"2018011330"</f>
        <v>2018011330</v>
      </c>
      <c r="F139" s="9">
        <v>50.5</v>
      </c>
      <c r="G139" s="9">
        <v>97</v>
      </c>
      <c r="H139" s="9">
        <f t="shared" si="7"/>
        <v>83.049999999999983</v>
      </c>
      <c r="I139" s="9"/>
    </row>
    <row r="140" spans="1:9" ht="18.75" customHeight="1">
      <c r="A140" s="3" t="str">
        <f>"10522018030100062482776"</f>
        <v>10522018030100062482776</v>
      </c>
      <c r="B140" s="25">
        <v>138</v>
      </c>
      <c r="C140" s="8" t="s">
        <v>13</v>
      </c>
      <c r="D140" s="12" t="str">
        <f t="shared" si="6"/>
        <v>护理</v>
      </c>
      <c r="E140" s="9" t="str">
        <f>"2018011614"</f>
        <v>2018011614</v>
      </c>
      <c r="F140" s="9">
        <v>52.5</v>
      </c>
      <c r="G140" s="9">
        <v>96</v>
      </c>
      <c r="H140" s="9">
        <f t="shared" si="7"/>
        <v>82.949999999999989</v>
      </c>
      <c r="I140" s="9"/>
    </row>
    <row r="141" spans="1:9" ht="18.75" customHeight="1">
      <c r="A141" s="3" t="str">
        <f>"10522018022813515082603"</f>
        <v>10522018022813515082603</v>
      </c>
      <c r="B141" s="25">
        <v>139</v>
      </c>
      <c r="C141" s="8" t="s">
        <v>13</v>
      </c>
      <c r="D141" s="12" t="str">
        <f t="shared" si="6"/>
        <v>护理</v>
      </c>
      <c r="E141" s="9" t="str">
        <f>"2018011024"</f>
        <v>2018011024</v>
      </c>
      <c r="F141" s="9">
        <v>45</v>
      </c>
      <c r="G141" s="9">
        <v>99</v>
      </c>
      <c r="H141" s="9">
        <f t="shared" si="7"/>
        <v>82.8</v>
      </c>
      <c r="I141" s="9"/>
    </row>
    <row r="142" spans="1:9" ht="18.75" customHeight="1">
      <c r="A142" s="3" t="str">
        <f>"10522018022621485782096"</f>
        <v>10522018022621485782096</v>
      </c>
      <c r="B142" s="25">
        <v>140</v>
      </c>
      <c r="C142" s="8" t="s">
        <v>13</v>
      </c>
      <c r="D142" s="12" t="str">
        <f>"护理专业"</f>
        <v>护理专业</v>
      </c>
      <c r="E142" s="9" t="str">
        <f>"2018011704"</f>
        <v>2018011704</v>
      </c>
      <c r="F142" s="9">
        <v>49.5</v>
      </c>
      <c r="G142" s="9">
        <v>97</v>
      </c>
      <c r="H142" s="9">
        <f t="shared" si="7"/>
        <v>82.749999999999986</v>
      </c>
      <c r="I142" s="9"/>
    </row>
    <row r="143" spans="1:9" ht="18.75" customHeight="1">
      <c r="A143" s="3" t="str">
        <f>"10522018022815414782636"</f>
        <v>10522018022815414782636</v>
      </c>
      <c r="B143" s="25">
        <v>141</v>
      </c>
      <c r="C143" s="8" t="s">
        <v>13</v>
      </c>
      <c r="D143" s="12" t="str">
        <f t="shared" ref="D143:D149" si="8">"护理"</f>
        <v>护理</v>
      </c>
      <c r="E143" s="9" t="str">
        <f>"2018011503"</f>
        <v>2018011503</v>
      </c>
      <c r="F143" s="9">
        <v>44.5</v>
      </c>
      <c r="G143" s="9">
        <v>99</v>
      </c>
      <c r="H143" s="9">
        <f t="shared" si="7"/>
        <v>82.649999999999991</v>
      </c>
      <c r="I143" s="9"/>
    </row>
    <row r="144" spans="1:9" ht="18.75" customHeight="1">
      <c r="A144" s="3" t="str">
        <f>"10522018030122055583041"</f>
        <v>10522018030122055583041</v>
      </c>
      <c r="B144" s="25">
        <v>142</v>
      </c>
      <c r="C144" s="8" t="s">
        <v>13</v>
      </c>
      <c r="D144" s="12" t="str">
        <f t="shared" si="8"/>
        <v>护理</v>
      </c>
      <c r="E144" s="9" t="str">
        <f>"2018010719"</f>
        <v>2018010719</v>
      </c>
      <c r="F144" s="9">
        <v>63</v>
      </c>
      <c r="G144" s="9">
        <v>91</v>
      </c>
      <c r="H144" s="9">
        <f t="shared" si="7"/>
        <v>82.6</v>
      </c>
      <c r="I144" s="9"/>
    </row>
    <row r="145" spans="1:9" ht="18.75" customHeight="1">
      <c r="A145" s="3" t="str">
        <f>"10522018030212181283125"</f>
        <v>10522018030212181283125</v>
      </c>
      <c r="B145" s="25">
        <v>143</v>
      </c>
      <c r="C145" s="8" t="s">
        <v>13</v>
      </c>
      <c r="D145" s="12" t="str">
        <f t="shared" si="8"/>
        <v>护理</v>
      </c>
      <c r="E145" s="9" t="str">
        <f>"2018012207"</f>
        <v>2018012207</v>
      </c>
      <c r="F145" s="9">
        <v>46.5</v>
      </c>
      <c r="G145" s="9">
        <v>98</v>
      </c>
      <c r="H145" s="9">
        <f t="shared" si="7"/>
        <v>82.55</v>
      </c>
      <c r="I145" s="9"/>
    </row>
    <row r="146" spans="1:9" ht="18.75" customHeight="1">
      <c r="A146" s="3" t="str">
        <f>"10522018022814425582619"</f>
        <v>10522018022814425582619</v>
      </c>
      <c r="B146" s="25">
        <v>144</v>
      </c>
      <c r="C146" s="8" t="s">
        <v>13</v>
      </c>
      <c r="D146" s="12" t="str">
        <f t="shared" si="8"/>
        <v>护理</v>
      </c>
      <c r="E146" s="9" t="str">
        <f>"2018011122"</f>
        <v>2018011122</v>
      </c>
      <c r="F146" s="9">
        <v>43</v>
      </c>
      <c r="G146" s="9">
        <v>99</v>
      </c>
      <c r="H146" s="9">
        <f t="shared" si="7"/>
        <v>82.2</v>
      </c>
      <c r="I146" s="9"/>
    </row>
    <row r="147" spans="1:9" ht="18.75" customHeight="1">
      <c r="A147" s="3" t="str">
        <f>"10522018022821311482749"</f>
        <v>10522018022821311482749</v>
      </c>
      <c r="B147" s="25">
        <v>145</v>
      </c>
      <c r="C147" s="8" t="s">
        <v>13</v>
      </c>
      <c r="D147" s="12" t="str">
        <f t="shared" si="8"/>
        <v>护理</v>
      </c>
      <c r="E147" s="9" t="str">
        <f>"2018010809"</f>
        <v>2018010809</v>
      </c>
      <c r="F147" s="9">
        <v>50</v>
      </c>
      <c r="G147" s="9">
        <v>96</v>
      </c>
      <c r="H147" s="9">
        <f t="shared" si="7"/>
        <v>82.199999999999989</v>
      </c>
      <c r="I147" s="9"/>
    </row>
    <row r="148" spans="1:9" ht="18.75" customHeight="1">
      <c r="A148" s="3" t="str">
        <f>"10522018022813431582599"</f>
        <v>10522018022813431582599</v>
      </c>
      <c r="B148" s="25">
        <v>146</v>
      </c>
      <c r="C148" s="8" t="s">
        <v>13</v>
      </c>
      <c r="D148" s="12" t="str">
        <f t="shared" si="8"/>
        <v>护理</v>
      </c>
      <c r="E148" s="9" t="str">
        <f>"2018012127"</f>
        <v>2018012127</v>
      </c>
      <c r="F148" s="9">
        <v>28.5</v>
      </c>
      <c r="G148" s="9">
        <v>105</v>
      </c>
      <c r="H148" s="9">
        <f t="shared" si="7"/>
        <v>82.05</v>
      </c>
      <c r="I148" s="9"/>
    </row>
    <row r="149" spans="1:9" ht="18.75" customHeight="1">
      <c r="A149" s="3" t="str">
        <f>"10522018022713434482241"</f>
        <v>10522018022713434482241</v>
      </c>
      <c r="B149" s="25">
        <v>147</v>
      </c>
      <c r="C149" s="8" t="s">
        <v>13</v>
      </c>
      <c r="D149" s="12" t="str">
        <f t="shared" si="8"/>
        <v>护理</v>
      </c>
      <c r="E149" s="9" t="str">
        <f>"2018011101"</f>
        <v>2018011101</v>
      </c>
      <c r="F149" s="9">
        <v>47</v>
      </c>
      <c r="G149" s="9">
        <v>97</v>
      </c>
      <c r="H149" s="9">
        <f t="shared" si="7"/>
        <v>81.999999999999986</v>
      </c>
      <c r="I149" s="9"/>
    </row>
    <row r="150" spans="1:9" ht="18.75" customHeight="1">
      <c r="A150" s="3" t="str">
        <f>"10522018022710165382167"</f>
        <v>10522018022710165382167</v>
      </c>
      <c r="B150" s="25">
        <v>148</v>
      </c>
      <c r="C150" s="8" t="s">
        <v>13</v>
      </c>
      <c r="D150" s="12" t="str">
        <f>"护理专业"</f>
        <v>护理专业</v>
      </c>
      <c r="E150" s="9" t="str">
        <f>"2018012204"</f>
        <v>2018012204</v>
      </c>
      <c r="F150" s="9">
        <v>28</v>
      </c>
      <c r="G150" s="9">
        <v>105</v>
      </c>
      <c r="H150" s="9">
        <f t="shared" si="7"/>
        <v>81.900000000000006</v>
      </c>
      <c r="I150" s="9"/>
    </row>
    <row r="151" spans="1:9" ht="18.75" customHeight="1">
      <c r="A151" s="3" t="str">
        <f>"10522018022823070182769"</f>
        <v>10522018022823070182769</v>
      </c>
      <c r="B151" s="25">
        <v>149</v>
      </c>
      <c r="C151" s="8" t="s">
        <v>13</v>
      </c>
      <c r="D151" s="12" t="str">
        <f t="shared" ref="D151:D155" si="9">"护理"</f>
        <v>护理</v>
      </c>
      <c r="E151" s="9" t="str">
        <f>"2018011621"</f>
        <v>2018011621</v>
      </c>
      <c r="F151" s="9">
        <v>39</v>
      </c>
      <c r="G151" s="9">
        <v>100</v>
      </c>
      <c r="H151" s="9">
        <f t="shared" si="7"/>
        <v>81.7</v>
      </c>
      <c r="I151" s="9"/>
    </row>
    <row r="152" spans="1:9" ht="18.75" customHeight="1">
      <c r="A152" s="3" t="str">
        <f>"10522018022609474581631"</f>
        <v>10522018022609474581631</v>
      </c>
      <c r="B152" s="25">
        <v>150</v>
      </c>
      <c r="C152" s="8" t="s">
        <v>13</v>
      </c>
      <c r="D152" s="12" t="str">
        <f t="shared" si="9"/>
        <v>护理</v>
      </c>
      <c r="E152" s="9" t="str">
        <f>"2018012206"</f>
        <v>2018012206</v>
      </c>
      <c r="F152" s="9">
        <v>39</v>
      </c>
      <c r="G152" s="9">
        <v>100</v>
      </c>
      <c r="H152" s="9">
        <f t="shared" si="7"/>
        <v>81.7</v>
      </c>
      <c r="I152" s="9"/>
    </row>
    <row r="153" spans="1:9" ht="18.75" customHeight="1">
      <c r="A153" s="3" t="str">
        <f>"10522018022622550982112"</f>
        <v>10522018022622550982112</v>
      </c>
      <c r="B153" s="25">
        <v>151</v>
      </c>
      <c r="C153" s="8" t="s">
        <v>13</v>
      </c>
      <c r="D153" s="12" t="str">
        <f t="shared" si="9"/>
        <v>护理</v>
      </c>
      <c r="E153" s="9" t="str">
        <f>"2018012004"</f>
        <v>2018012004</v>
      </c>
      <c r="F153" s="9">
        <v>59.5</v>
      </c>
      <c r="G153" s="9">
        <v>91</v>
      </c>
      <c r="H153" s="9">
        <f t="shared" si="7"/>
        <v>81.55</v>
      </c>
      <c r="I153" s="9"/>
    </row>
    <row r="154" spans="1:9" ht="18.75" customHeight="1">
      <c r="A154" s="3" t="str">
        <f>"10522018022616402181963"</f>
        <v>10522018022616402181963</v>
      </c>
      <c r="B154" s="25">
        <v>152</v>
      </c>
      <c r="C154" s="8" t="s">
        <v>13</v>
      </c>
      <c r="D154" s="12" t="str">
        <f t="shared" si="9"/>
        <v>护理</v>
      </c>
      <c r="E154" s="9" t="str">
        <f>"2018010823"</f>
        <v>2018010823</v>
      </c>
      <c r="F154" s="9">
        <v>31</v>
      </c>
      <c r="G154" s="9">
        <v>103</v>
      </c>
      <c r="H154" s="9">
        <f t="shared" si="7"/>
        <v>81.399999999999991</v>
      </c>
      <c r="I154" s="9"/>
    </row>
    <row r="155" spans="1:9" ht="18.75" customHeight="1">
      <c r="A155" s="3" t="str">
        <f>"10522018022722044282437"</f>
        <v>10522018022722044282437</v>
      </c>
      <c r="B155" s="25">
        <v>153</v>
      </c>
      <c r="C155" s="8" t="s">
        <v>13</v>
      </c>
      <c r="D155" s="12" t="str">
        <f t="shared" si="9"/>
        <v>护理</v>
      </c>
      <c r="E155" s="9" t="str">
        <f>"2018012117"</f>
        <v>2018012117</v>
      </c>
      <c r="F155" s="9">
        <v>47</v>
      </c>
      <c r="G155" s="9">
        <v>96</v>
      </c>
      <c r="H155" s="9">
        <f t="shared" si="7"/>
        <v>81.299999999999983</v>
      </c>
      <c r="I155" s="9"/>
    </row>
    <row r="156" spans="1:9" ht="18.75" customHeight="1">
      <c r="A156" s="3" t="str">
        <f>"10522018022814321382616"</f>
        <v>10522018022814321382616</v>
      </c>
      <c r="B156" s="25">
        <v>154</v>
      </c>
      <c r="C156" s="8" t="s">
        <v>13</v>
      </c>
      <c r="D156" s="12" t="str">
        <f>"护理专业"</f>
        <v>护理专业</v>
      </c>
      <c r="E156" s="9" t="str">
        <f>"2018010606"</f>
        <v>2018010606</v>
      </c>
      <c r="F156" s="9">
        <v>37</v>
      </c>
      <c r="G156" s="9">
        <v>100</v>
      </c>
      <c r="H156" s="9">
        <f t="shared" si="7"/>
        <v>81.099999999999994</v>
      </c>
      <c r="I156" s="9"/>
    </row>
    <row r="157" spans="1:9" ht="18.75" customHeight="1">
      <c r="A157" s="3" t="str">
        <f>"10522018022610223981670"</f>
        <v>10522018022610223981670</v>
      </c>
      <c r="B157" s="25">
        <v>155</v>
      </c>
      <c r="C157" s="8" t="s">
        <v>13</v>
      </c>
      <c r="D157" s="12" t="str">
        <f>"护理"</f>
        <v>护理</v>
      </c>
      <c r="E157" s="9" t="str">
        <f>"2018011826"</f>
        <v>2018011826</v>
      </c>
      <c r="F157" s="9">
        <v>58</v>
      </c>
      <c r="G157" s="9">
        <v>91</v>
      </c>
      <c r="H157" s="9">
        <f t="shared" si="7"/>
        <v>81.099999999999994</v>
      </c>
      <c r="I157" s="9"/>
    </row>
    <row r="158" spans="1:9" ht="18.75" customHeight="1">
      <c r="A158" s="3" t="str">
        <f>"10522018022611205581753"</f>
        <v>10522018022611205581753</v>
      </c>
      <c r="B158" s="25">
        <v>156</v>
      </c>
      <c r="C158" s="8" t="s">
        <v>13</v>
      </c>
      <c r="D158" s="12" t="str">
        <f>"护理"</f>
        <v>护理</v>
      </c>
      <c r="E158" s="9" t="str">
        <f>"2018011920"</f>
        <v>2018011920</v>
      </c>
      <c r="F158" s="9">
        <v>53</v>
      </c>
      <c r="G158" s="9">
        <v>93</v>
      </c>
      <c r="H158" s="9">
        <f t="shared" si="7"/>
        <v>81</v>
      </c>
      <c r="I158" s="9"/>
    </row>
    <row r="159" spans="1:9" ht="18.75" customHeight="1">
      <c r="A159" s="3" t="str">
        <f>"10522018022611223381755"</f>
        <v>10522018022611223381755</v>
      </c>
      <c r="B159" s="25">
        <v>157</v>
      </c>
      <c r="C159" s="8" t="s">
        <v>13</v>
      </c>
      <c r="D159" s="12" t="str">
        <f>"护理专业"</f>
        <v>护理专业</v>
      </c>
      <c r="E159" s="9" t="str">
        <f>"2018011927"</f>
        <v>2018011927</v>
      </c>
      <c r="F159" s="9">
        <v>29.5</v>
      </c>
      <c r="G159" s="9">
        <v>103</v>
      </c>
      <c r="H159" s="9">
        <f t="shared" si="7"/>
        <v>80.949999999999989</v>
      </c>
      <c r="I159" s="9"/>
    </row>
    <row r="160" spans="1:9" ht="18.75" customHeight="1">
      <c r="A160" s="3" t="str">
        <f>"10522018022713512382243"</f>
        <v>10522018022713512382243</v>
      </c>
      <c r="B160" s="25">
        <v>158</v>
      </c>
      <c r="C160" s="8" t="s">
        <v>13</v>
      </c>
      <c r="D160" s="12" t="str">
        <f t="shared" ref="D160:D188" si="10">"护理"</f>
        <v>护理</v>
      </c>
      <c r="E160" s="9" t="str">
        <f>"2018011003"</f>
        <v>2018011003</v>
      </c>
      <c r="F160" s="9">
        <v>43</v>
      </c>
      <c r="G160" s="9">
        <v>97</v>
      </c>
      <c r="H160" s="9">
        <f t="shared" si="7"/>
        <v>80.8</v>
      </c>
      <c r="I160" s="9"/>
    </row>
    <row r="161" spans="1:9" ht="18.75" customHeight="1">
      <c r="A161" s="3" t="str">
        <f>"10522018030112310682867"</f>
        <v>10522018030112310682867</v>
      </c>
      <c r="B161" s="25">
        <v>159</v>
      </c>
      <c r="C161" s="8" t="s">
        <v>13</v>
      </c>
      <c r="D161" s="12" t="str">
        <f t="shared" si="10"/>
        <v>护理</v>
      </c>
      <c r="E161" s="9" t="str">
        <f>"2018011828"</f>
        <v>2018011828</v>
      </c>
      <c r="F161" s="9">
        <v>47.5</v>
      </c>
      <c r="G161" s="9">
        <v>95</v>
      </c>
      <c r="H161" s="9">
        <f t="shared" si="7"/>
        <v>80.75</v>
      </c>
      <c r="I161" s="9"/>
    </row>
    <row r="162" spans="1:9" ht="18.75" customHeight="1">
      <c r="A162" s="3" t="str">
        <f>"10522018022612593681826"</f>
        <v>10522018022612593681826</v>
      </c>
      <c r="B162" s="25">
        <v>160</v>
      </c>
      <c r="C162" s="8" t="s">
        <v>13</v>
      </c>
      <c r="D162" s="12" t="str">
        <f t="shared" si="10"/>
        <v>护理</v>
      </c>
      <c r="E162" s="9" t="str">
        <f>"2018010530"</f>
        <v>2018010530</v>
      </c>
      <c r="F162" s="9">
        <v>44.5</v>
      </c>
      <c r="G162" s="9">
        <v>96</v>
      </c>
      <c r="H162" s="9">
        <f t="shared" si="7"/>
        <v>80.549999999999983</v>
      </c>
      <c r="I162" s="9"/>
    </row>
    <row r="163" spans="1:9" ht="18.75" customHeight="1">
      <c r="A163" s="3" t="str">
        <f>"10522018022615544481934"</f>
        <v>10522018022615544481934</v>
      </c>
      <c r="B163" s="25">
        <v>161</v>
      </c>
      <c r="C163" s="8" t="s">
        <v>13</v>
      </c>
      <c r="D163" s="12" t="str">
        <f t="shared" si="10"/>
        <v>护理</v>
      </c>
      <c r="E163" s="9" t="str">
        <f>"2018011625"</f>
        <v>2018011625</v>
      </c>
      <c r="F163" s="9">
        <v>32.5</v>
      </c>
      <c r="G163" s="9">
        <v>101</v>
      </c>
      <c r="H163" s="9">
        <f t="shared" si="7"/>
        <v>80.449999999999989</v>
      </c>
      <c r="I163" s="9"/>
    </row>
    <row r="164" spans="1:9" ht="18.75" customHeight="1">
      <c r="A164" s="3" t="str">
        <f>"10522018022610431881704"</f>
        <v>10522018022610431881704</v>
      </c>
      <c r="B164" s="25">
        <v>162</v>
      </c>
      <c r="C164" s="8" t="s">
        <v>13</v>
      </c>
      <c r="D164" s="12" t="str">
        <f t="shared" si="10"/>
        <v>护理</v>
      </c>
      <c r="E164" s="9" t="str">
        <f>"2018011703"</f>
        <v>2018011703</v>
      </c>
      <c r="F164" s="9">
        <v>34.5</v>
      </c>
      <c r="G164" s="9">
        <v>100</v>
      </c>
      <c r="H164" s="9">
        <f t="shared" si="7"/>
        <v>80.349999999999994</v>
      </c>
      <c r="I164" s="9"/>
    </row>
    <row r="165" spans="1:9" ht="18.75" customHeight="1">
      <c r="A165" s="3" t="str">
        <f>"10522018022611224981757"</f>
        <v>10522018022611224981757</v>
      </c>
      <c r="B165" s="25">
        <v>163</v>
      </c>
      <c r="C165" s="8" t="s">
        <v>13</v>
      </c>
      <c r="D165" s="12" t="str">
        <f t="shared" si="10"/>
        <v>护理</v>
      </c>
      <c r="E165" s="9" t="str">
        <f>"2018010712"</f>
        <v>2018010712</v>
      </c>
      <c r="F165" s="9">
        <v>38.5</v>
      </c>
      <c r="G165" s="9">
        <v>98</v>
      </c>
      <c r="H165" s="9">
        <f t="shared" si="7"/>
        <v>80.149999999999991</v>
      </c>
      <c r="I165" s="9"/>
    </row>
    <row r="166" spans="1:9" ht="18.75" customHeight="1">
      <c r="A166" s="3" t="str">
        <f>"10522018022721054582413"</f>
        <v>10522018022721054582413</v>
      </c>
      <c r="B166" s="25">
        <v>164</v>
      </c>
      <c r="C166" s="8" t="s">
        <v>13</v>
      </c>
      <c r="D166" s="12" t="str">
        <f t="shared" si="10"/>
        <v>护理</v>
      </c>
      <c r="E166" s="9" t="str">
        <f>"2018012019"</f>
        <v>2018012019</v>
      </c>
      <c r="F166" s="9">
        <v>50</v>
      </c>
      <c r="G166" s="9">
        <v>93</v>
      </c>
      <c r="H166" s="9">
        <f t="shared" si="7"/>
        <v>80.099999999999994</v>
      </c>
      <c r="I166" s="9"/>
    </row>
    <row r="167" spans="1:9" ht="18.75" customHeight="1">
      <c r="A167" s="3" t="str">
        <f>"10522018022612584981823"</f>
        <v>10522018022612584981823</v>
      </c>
      <c r="B167" s="25">
        <v>165</v>
      </c>
      <c r="C167" s="8" t="s">
        <v>13</v>
      </c>
      <c r="D167" s="12" t="str">
        <f t="shared" si="10"/>
        <v>护理</v>
      </c>
      <c r="E167" s="9" t="str">
        <f>"2018011505"</f>
        <v>2018011505</v>
      </c>
      <c r="F167" s="9">
        <v>54.5</v>
      </c>
      <c r="G167" s="9">
        <v>91</v>
      </c>
      <c r="H167" s="9">
        <f t="shared" si="7"/>
        <v>80.05</v>
      </c>
      <c r="I167" s="9"/>
    </row>
    <row r="168" spans="1:9" ht="18.75" customHeight="1">
      <c r="A168" s="3" t="str">
        <f>"10522018030116164482951"</f>
        <v>10522018030116164482951</v>
      </c>
      <c r="B168" s="25">
        <v>166</v>
      </c>
      <c r="C168" s="8" t="s">
        <v>13</v>
      </c>
      <c r="D168" s="12" t="str">
        <f t="shared" si="10"/>
        <v>护理</v>
      </c>
      <c r="E168" s="9" t="str">
        <f>"2018011114"</f>
        <v>2018011114</v>
      </c>
      <c r="F168" s="9">
        <v>42.5</v>
      </c>
      <c r="G168" s="9">
        <v>96</v>
      </c>
      <c r="H168" s="9">
        <f t="shared" si="7"/>
        <v>79.949999999999989</v>
      </c>
      <c r="I168" s="9"/>
    </row>
    <row r="169" spans="1:9" ht="18.75" customHeight="1">
      <c r="A169" s="3" t="str">
        <f>"10522018022821512382755"</f>
        <v>10522018022821512382755</v>
      </c>
      <c r="B169" s="25">
        <v>167</v>
      </c>
      <c r="C169" s="8" t="s">
        <v>13</v>
      </c>
      <c r="D169" s="12" t="str">
        <f t="shared" si="10"/>
        <v>护理</v>
      </c>
      <c r="E169" s="9" t="str">
        <f>"2018011615"</f>
        <v>2018011615</v>
      </c>
      <c r="F169" s="9">
        <v>42.5</v>
      </c>
      <c r="G169" s="9">
        <v>96</v>
      </c>
      <c r="H169" s="9">
        <f t="shared" si="7"/>
        <v>79.949999999999989</v>
      </c>
      <c r="I169" s="9"/>
    </row>
    <row r="170" spans="1:9" ht="18.75" customHeight="1">
      <c r="A170" s="3" t="str">
        <f>"10522018022816544682656"</f>
        <v>10522018022816544682656</v>
      </c>
      <c r="B170" s="25">
        <v>168</v>
      </c>
      <c r="C170" s="8" t="s">
        <v>13</v>
      </c>
      <c r="D170" s="12" t="str">
        <f t="shared" si="10"/>
        <v>护理</v>
      </c>
      <c r="E170" s="9" t="str">
        <f>"2018011118"</f>
        <v>2018011118</v>
      </c>
      <c r="F170" s="9">
        <v>47</v>
      </c>
      <c r="G170" s="9">
        <v>94</v>
      </c>
      <c r="H170" s="9">
        <f t="shared" si="7"/>
        <v>79.899999999999991</v>
      </c>
      <c r="I170" s="9"/>
    </row>
    <row r="171" spans="1:9" ht="18.75" customHeight="1">
      <c r="A171" s="3" t="str">
        <f>"10522018022820151882725"</f>
        <v>10522018022820151882725</v>
      </c>
      <c r="B171" s="25">
        <v>169</v>
      </c>
      <c r="C171" s="8" t="s">
        <v>13</v>
      </c>
      <c r="D171" s="12" t="str">
        <f t="shared" si="10"/>
        <v>护理</v>
      </c>
      <c r="E171" s="9" t="str">
        <f>"2018010924"</f>
        <v>2018010924</v>
      </c>
      <c r="F171" s="9">
        <v>49</v>
      </c>
      <c r="G171" s="9">
        <v>93</v>
      </c>
      <c r="H171" s="9">
        <f t="shared" si="7"/>
        <v>79.8</v>
      </c>
      <c r="I171" s="9"/>
    </row>
    <row r="172" spans="1:9" ht="18.75" customHeight="1">
      <c r="A172" s="3" t="str">
        <f>"10522018022612235081789"</f>
        <v>10522018022612235081789</v>
      </c>
      <c r="B172" s="25">
        <v>170</v>
      </c>
      <c r="C172" s="8" t="s">
        <v>13</v>
      </c>
      <c r="D172" s="12" t="str">
        <f t="shared" si="10"/>
        <v>护理</v>
      </c>
      <c r="E172" s="9" t="str">
        <f>"2018011308"</f>
        <v>2018011308</v>
      </c>
      <c r="F172" s="9">
        <v>42</v>
      </c>
      <c r="G172" s="9">
        <v>96</v>
      </c>
      <c r="H172" s="9">
        <f t="shared" si="7"/>
        <v>79.799999999999983</v>
      </c>
      <c r="I172" s="9"/>
    </row>
    <row r="173" spans="1:9" ht="18.75" customHeight="1">
      <c r="A173" s="3" t="str">
        <f>"10522018022716474382308"</f>
        <v>10522018022716474382308</v>
      </c>
      <c r="B173" s="25">
        <v>171</v>
      </c>
      <c r="C173" s="8" t="s">
        <v>13</v>
      </c>
      <c r="D173" s="12" t="str">
        <f t="shared" si="10"/>
        <v>护理</v>
      </c>
      <c r="E173" s="9" t="str">
        <f>"2018011617"</f>
        <v>2018011617</v>
      </c>
      <c r="F173" s="9">
        <v>44</v>
      </c>
      <c r="G173" s="9">
        <v>95</v>
      </c>
      <c r="H173" s="9">
        <f t="shared" si="7"/>
        <v>79.7</v>
      </c>
      <c r="I173" s="9"/>
    </row>
    <row r="174" spans="1:9" ht="18.75" customHeight="1">
      <c r="A174" s="3" t="str">
        <f>"10522018022719231682362"</f>
        <v>10522018022719231682362</v>
      </c>
      <c r="B174" s="25">
        <v>172</v>
      </c>
      <c r="C174" s="8" t="s">
        <v>13</v>
      </c>
      <c r="D174" s="12" t="str">
        <f t="shared" si="10"/>
        <v>护理</v>
      </c>
      <c r="E174" s="9" t="str">
        <f>"2018011923"</f>
        <v>2018011923</v>
      </c>
      <c r="F174" s="9">
        <v>29.5</v>
      </c>
      <c r="G174" s="9">
        <v>101</v>
      </c>
      <c r="H174" s="9">
        <f t="shared" si="7"/>
        <v>79.549999999999983</v>
      </c>
      <c r="I174" s="9"/>
    </row>
    <row r="175" spans="1:9" ht="18.75" customHeight="1">
      <c r="A175" s="3" t="str">
        <f>"10522018022609023281560"</f>
        <v>10522018022609023281560</v>
      </c>
      <c r="B175" s="25">
        <v>173</v>
      </c>
      <c r="C175" s="8" t="s">
        <v>13</v>
      </c>
      <c r="D175" s="12" t="str">
        <f t="shared" si="10"/>
        <v>护理</v>
      </c>
      <c r="E175" s="9" t="str">
        <f>"2018011518"</f>
        <v>2018011518</v>
      </c>
      <c r="F175" s="9">
        <v>45.5</v>
      </c>
      <c r="G175" s="9">
        <v>94</v>
      </c>
      <c r="H175" s="9">
        <f t="shared" si="7"/>
        <v>79.45</v>
      </c>
      <c r="I175" s="9"/>
    </row>
    <row r="176" spans="1:9" ht="18.75" customHeight="1">
      <c r="A176" s="3" t="str">
        <f>"10522018030113302182894"</f>
        <v>10522018030113302182894</v>
      </c>
      <c r="B176" s="25">
        <v>174</v>
      </c>
      <c r="C176" s="8" t="s">
        <v>13</v>
      </c>
      <c r="D176" s="12" t="str">
        <f t="shared" si="10"/>
        <v>护理</v>
      </c>
      <c r="E176" s="9" t="str">
        <f>"2018012205"</f>
        <v>2018012205</v>
      </c>
      <c r="F176" s="9">
        <v>31.5</v>
      </c>
      <c r="G176" s="9">
        <v>100</v>
      </c>
      <c r="H176" s="9">
        <f t="shared" si="7"/>
        <v>79.45</v>
      </c>
      <c r="I176" s="9"/>
    </row>
    <row r="177" spans="1:9" ht="18.75" customHeight="1">
      <c r="A177" s="3" t="str">
        <f>"10522018022617124481978"</f>
        <v>10522018022617124481978</v>
      </c>
      <c r="B177" s="25">
        <v>175</v>
      </c>
      <c r="C177" s="8" t="s">
        <v>13</v>
      </c>
      <c r="D177" s="12" t="str">
        <f t="shared" si="10"/>
        <v>护理</v>
      </c>
      <c r="E177" s="9" t="str">
        <f>"2018011316"</f>
        <v>2018011316</v>
      </c>
      <c r="F177" s="9">
        <v>45</v>
      </c>
      <c r="G177" s="9">
        <v>94</v>
      </c>
      <c r="H177" s="9">
        <f t="shared" si="7"/>
        <v>79.3</v>
      </c>
      <c r="I177" s="9"/>
    </row>
    <row r="178" spans="1:9" ht="18.75" customHeight="1">
      <c r="A178" s="3" t="str">
        <f>"10522018022820514982734"</f>
        <v>10522018022820514982734</v>
      </c>
      <c r="B178" s="25">
        <v>176</v>
      </c>
      <c r="C178" s="8" t="s">
        <v>13</v>
      </c>
      <c r="D178" s="12" t="str">
        <f t="shared" si="10"/>
        <v>护理</v>
      </c>
      <c r="E178" s="9" t="str">
        <f>"2018011805"</f>
        <v>2018011805</v>
      </c>
      <c r="F178" s="9">
        <v>42</v>
      </c>
      <c r="G178" s="9">
        <v>95</v>
      </c>
      <c r="H178" s="9">
        <f t="shared" si="7"/>
        <v>79.099999999999994</v>
      </c>
      <c r="I178" s="9"/>
    </row>
    <row r="179" spans="1:9" ht="18.75" customHeight="1">
      <c r="A179" s="3" t="str">
        <f>"10522018022610423881703"</f>
        <v>10522018022610423881703</v>
      </c>
      <c r="B179" s="25">
        <v>177</v>
      </c>
      <c r="C179" s="8" t="s">
        <v>13</v>
      </c>
      <c r="D179" s="12" t="str">
        <f t="shared" si="10"/>
        <v>护理</v>
      </c>
      <c r="E179" s="9" t="str">
        <f>"2018011907"</f>
        <v>2018011907</v>
      </c>
      <c r="F179" s="9">
        <v>32.5</v>
      </c>
      <c r="G179" s="9">
        <v>99</v>
      </c>
      <c r="H179" s="9">
        <f t="shared" ref="H179:H244" si="11">F179*0.3+G179*0.7</f>
        <v>79.05</v>
      </c>
      <c r="I179" s="9"/>
    </row>
    <row r="180" spans="1:9" ht="18.75" customHeight="1">
      <c r="A180" s="3" t="str">
        <f>"10522018022714521182269"</f>
        <v>10522018022714521182269</v>
      </c>
      <c r="B180" s="25">
        <v>178</v>
      </c>
      <c r="C180" s="8" t="s">
        <v>13</v>
      </c>
      <c r="D180" s="12" t="str">
        <f t="shared" si="10"/>
        <v>护理</v>
      </c>
      <c r="E180" s="9" t="str">
        <f>"2018011624"</f>
        <v>2018011624</v>
      </c>
      <c r="F180" s="9">
        <v>58</v>
      </c>
      <c r="G180" s="9">
        <v>88</v>
      </c>
      <c r="H180" s="9">
        <f t="shared" si="11"/>
        <v>79</v>
      </c>
      <c r="I180" s="9"/>
    </row>
    <row r="181" spans="1:9" ht="18.75" customHeight="1">
      <c r="A181" s="3" t="str">
        <f>"10522018030109272982807"</f>
        <v>10522018030109272982807</v>
      </c>
      <c r="B181" s="25">
        <v>179</v>
      </c>
      <c r="C181" s="8" t="s">
        <v>13</v>
      </c>
      <c r="D181" s="12" t="str">
        <f t="shared" si="10"/>
        <v>护理</v>
      </c>
      <c r="E181" s="9" t="str">
        <f>"2018011319"</f>
        <v>2018011319</v>
      </c>
      <c r="F181" s="9">
        <v>55.5</v>
      </c>
      <c r="G181" s="9">
        <v>89</v>
      </c>
      <c r="H181" s="9">
        <f t="shared" si="11"/>
        <v>78.949999999999989</v>
      </c>
      <c r="I181" s="9"/>
    </row>
    <row r="182" spans="1:9" ht="18.75" customHeight="1">
      <c r="A182" s="3" t="str">
        <f>"10522018022813450482601"</f>
        <v>10522018022813450482601</v>
      </c>
      <c r="B182" s="25">
        <v>180</v>
      </c>
      <c r="C182" s="8" t="s">
        <v>13</v>
      </c>
      <c r="D182" s="12" t="str">
        <f t="shared" si="10"/>
        <v>护理</v>
      </c>
      <c r="E182" s="9" t="str">
        <f>"2018011810"</f>
        <v>2018011810</v>
      </c>
      <c r="F182" s="9">
        <v>55.5</v>
      </c>
      <c r="G182" s="9">
        <v>89</v>
      </c>
      <c r="H182" s="9">
        <f t="shared" si="11"/>
        <v>78.949999999999989</v>
      </c>
      <c r="I182" s="9"/>
    </row>
    <row r="183" spans="1:9" ht="18.75" customHeight="1">
      <c r="A183" s="3" t="str">
        <f>"10522018022620531782075"</f>
        <v>10522018022620531782075</v>
      </c>
      <c r="B183" s="25">
        <v>181</v>
      </c>
      <c r="C183" s="8" t="s">
        <v>13</v>
      </c>
      <c r="D183" s="12" t="str">
        <f t="shared" si="10"/>
        <v>护理</v>
      </c>
      <c r="E183" s="9" t="str">
        <f>"2018011206"</f>
        <v>2018011206</v>
      </c>
      <c r="F183" s="9">
        <v>32</v>
      </c>
      <c r="G183" s="9">
        <v>99</v>
      </c>
      <c r="H183" s="9">
        <f t="shared" si="11"/>
        <v>78.899999999999991</v>
      </c>
      <c r="I183" s="9"/>
    </row>
    <row r="184" spans="1:9" ht="18.75" customHeight="1">
      <c r="A184" s="3" t="str">
        <f>"10522018022620521782073"</f>
        <v>10522018022620521782073</v>
      </c>
      <c r="B184" s="25">
        <v>182</v>
      </c>
      <c r="C184" s="8" t="s">
        <v>13</v>
      </c>
      <c r="D184" s="12" t="str">
        <f t="shared" si="10"/>
        <v>护理</v>
      </c>
      <c r="E184" s="9" t="str">
        <f>"2018011713"</f>
        <v>2018011713</v>
      </c>
      <c r="F184" s="9">
        <v>39</v>
      </c>
      <c r="G184" s="9">
        <v>96</v>
      </c>
      <c r="H184" s="9">
        <f t="shared" si="11"/>
        <v>78.899999999999991</v>
      </c>
      <c r="I184" s="9"/>
    </row>
    <row r="185" spans="1:9" ht="18.75" customHeight="1">
      <c r="A185" s="3" t="str">
        <f>"10522018022709254082145"</f>
        <v>10522018022709254082145</v>
      </c>
      <c r="B185" s="25">
        <v>183</v>
      </c>
      <c r="C185" s="8" t="s">
        <v>13</v>
      </c>
      <c r="D185" s="12" t="str">
        <f t="shared" si="10"/>
        <v>护理</v>
      </c>
      <c r="E185" s="9" t="str">
        <f>"2018011817"</f>
        <v>2018011817</v>
      </c>
      <c r="F185" s="9">
        <v>36.5</v>
      </c>
      <c r="G185" s="9">
        <v>97</v>
      </c>
      <c r="H185" s="9">
        <f t="shared" si="11"/>
        <v>78.849999999999994</v>
      </c>
      <c r="I185" s="9"/>
    </row>
    <row r="186" spans="1:9" ht="18.75" customHeight="1">
      <c r="A186" s="3" t="str">
        <f>"10522018022615442381925"</f>
        <v>10522018022615442381925</v>
      </c>
      <c r="B186" s="25">
        <v>184</v>
      </c>
      <c r="C186" s="8" t="s">
        <v>13</v>
      </c>
      <c r="D186" s="12" t="str">
        <f t="shared" si="10"/>
        <v>护理</v>
      </c>
      <c r="E186" s="9" t="str">
        <f>"2018011611"</f>
        <v>2018011611</v>
      </c>
      <c r="F186" s="9">
        <v>38.5</v>
      </c>
      <c r="G186" s="9">
        <v>96</v>
      </c>
      <c r="H186" s="9">
        <f t="shared" si="11"/>
        <v>78.749999999999986</v>
      </c>
      <c r="I186" s="9"/>
    </row>
    <row r="187" spans="1:9" ht="18.75" customHeight="1">
      <c r="A187" s="3" t="str">
        <f>"10522018022821452182753"</f>
        <v>10522018022821452182753</v>
      </c>
      <c r="B187" s="25">
        <v>185</v>
      </c>
      <c r="C187" s="8" t="s">
        <v>13</v>
      </c>
      <c r="D187" s="12" t="str">
        <f t="shared" si="10"/>
        <v>护理</v>
      </c>
      <c r="E187" s="9" t="str">
        <f>"2018011514"</f>
        <v>2018011514</v>
      </c>
      <c r="F187" s="9">
        <v>36</v>
      </c>
      <c r="G187" s="9">
        <v>97</v>
      </c>
      <c r="H187" s="9">
        <f t="shared" si="11"/>
        <v>78.699999999999989</v>
      </c>
      <c r="I187" s="9"/>
    </row>
    <row r="188" spans="1:9" ht="18.75" customHeight="1">
      <c r="A188" s="3" t="str">
        <f>"10522018022722505982444"</f>
        <v>10522018022722505982444</v>
      </c>
      <c r="B188" s="25">
        <v>186</v>
      </c>
      <c r="C188" s="8" t="s">
        <v>13</v>
      </c>
      <c r="D188" s="12" t="str">
        <f t="shared" si="10"/>
        <v>护理</v>
      </c>
      <c r="E188" s="9" t="str">
        <f>"2018011328"</f>
        <v>2018011328</v>
      </c>
      <c r="F188" s="9">
        <v>54.5</v>
      </c>
      <c r="G188" s="9">
        <v>89</v>
      </c>
      <c r="H188" s="9">
        <f t="shared" si="11"/>
        <v>78.649999999999991</v>
      </c>
      <c r="I188" s="9"/>
    </row>
    <row r="189" spans="1:9" ht="18.75" customHeight="1">
      <c r="A189" s="3" t="str">
        <f>"10522018022610343181687"</f>
        <v>10522018022610343181687</v>
      </c>
      <c r="B189" s="25">
        <v>187</v>
      </c>
      <c r="C189" s="8" t="s">
        <v>13</v>
      </c>
      <c r="D189" s="12" t="str">
        <f t="shared" ref="D189:D209" si="12">"护理"</f>
        <v>护理</v>
      </c>
      <c r="E189" s="9" t="str">
        <f>"2018011619"</f>
        <v>2018011619</v>
      </c>
      <c r="F189" s="9">
        <v>31</v>
      </c>
      <c r="G189" s="9">
        <v>99</v>
      </c>
      <c r="H189" s="9">
        <f t="shared" si="11"/>
        <v>78.599999999999994</v>
      </c>
      <c r="I189" s="9"/>
    </row>
    <row r="190" spans="1:9" ht="18.75" customHeight="1">
      <c r="A190" s="3" t="str">
        <f>"10522018022623533882116"</f>
        <v>10522018022623533882116</v>
      </c>
      <c r="B190" s="25">
        <v>188</v>
      </c>
      <c r="C190" s="8" t="s">
        <v>13</v>
      </c>
      <c r="D190" s="12" t="str">
        <f t="shared" si="12"/>
        <v>护理</v>
      </c>
      <c r="E190" s="9" t="str">
        <f>"2018012006"</f>
        <v>2018012006</v>
      </c>
      <c r="F190" s="9">
        <v>51.5</v>
      </c>
      <c r="G190" s="9">
        <v>90</v>
      </c>
      <c r="H190" s="9">
        <f t="shared" si="11"/>
        <v>78.449999999999989</v>
      </c>
      <c r="I190" s="9"/>
    </row>
    <row r="191" spans="1:9" ht="18.75" customHeight="1">
      <c r="A191" s="3" t="str">
        <f>"10522018022610110181658"</f>
        <v>10522018022610110181658</v>
      </c>
      <c r="B191" s="25">
        <v>189</v>
      </c>
      <c r="C191" s="8" t="s">
        <v>13</v>
      </c>
      <c r="D191" s="12" t="str">
        <f t="shared" si="12"/>
        <v>护理</v>
      </c>
      <c r="E191" s="9" t="str">
        <f>"2018010901"</f>
        <v>2018010901</v>
      </c>
      <c r="F191" s="9">
        <v>49</v>
      </c>
      <c r="G191" s="9">
        <v>91</v>
      </c>
      <c r="H191" s="9">
        <f t="shared" si="11"/>
        <v>78.399999999999991</v>
      </c>
      <c r="I191" s="9"/>
    </row>
    <row r="192" spans="1:9" ht="18.75" customHeight="1">
      <c r="A192" s="3" t="str">
        <f>"10522018022714243482261"</f>
        <v>10522018022714243482261</v>
      </c>
      <c r="B192" s="25">
        <v>190</v>
      </c>
      <c r="C192" s="8" t="s">
        <v>13</v>
      </c>
      <c r="D192" s="12" t="str">
        <f t="shared" si="12"/>
        <v>护理</v>
      </c>
      <c r="E192" s="9" t="str">
        <f>"2018012121"</f>
        <v>2018012121</v>
      </c>
      <c r="F192" s="9">
        <v>39.5</v>
      </c>
      <c r="G192" s="9">
        <v>95</v>
      </c>
      <c r="H192" s="9">
        <f t="shared" si="11"/>
        <v>78.349999999999994</v>
      </c>
      <c r="I192" s="9"/>
    </row>
    <row r="193" spans="1:9" ht="18.75" customHeight="1">
      <c r="A193" s="3" t="str">
        <f>"10522018022812454982567"</f>
        <v>10522018022812454982567</v>
      </c>
      <c r="B193" s="25">
        <v>191</v>
      </c>
      <c r="C193" s="8" t="s">
        <v>13</v>
      </c>
      <c r="D193" s="12" t="str">
        <f t="shared" si="12"/>
        <v>护理</v>
      </c>
      <c r="E193" s="9" t="str">
        <f>"2018010730"</f>
        <v>2018010730</v>
      </c>
      <c r="F193" s="9">
        <v>39</v>
      </c>
      <c r="G193" s="9">
        <v>95</v>
      </c>
      <c r="H193" s="9">
        <f t="shared" si="11"/>
        <v>78.2</v>
      </c>
      <c r="I193" s="9"/>
    </row>
    <row r="194" spans="1:9" ht="18.75" customHeight="1">
      <c r="A194" s="3" t="str">
        <f>"10522018022610460781708"</f>
        <v>10522018022610460781708</v>
      </c>
      <c r="B194" s="25">
        <v>192</v>
      </c>
      <c r="C194" s="8" t="s">
        <v>13</v>
      </c>
      <c r="D194" s="12" t="str">
        <f t="shared" si="12"/>
        <v>护理</v>
      </c>
      <c r="E194" s="9" t="str">
        <f>"2018010616"</f>
        <v>2018010616</v>
      </c>
      <c r="F194" s="9">
        <v>46</v>
      </c>
      <c r="G194" s="9">
        <v>92</v>
      </c>
      <c r="H194" s="9">
        <f t="shared" si="11"/>
        <v>78.199999999999989</v>
      </c>
      <c r="I194" s="9"/>
    </row>
    <row r="195" spans="1:9" ht="18.75" customHeight="1">
      <c r="A195" s="3" t="str">
        <f>"10522018022718560882342"</f>
        <v>10522018022718560882342</v>
      </c>
      <c r="B195" s="25">
        <v>193</v>
      </c>
      <c r="C195" s="8" t="s">
        <v>13</v>
      </c>
      <c r="D195" s="12" t="str">
        <f t="shared" si="12"/>
        <v>护理</v>
      </c>
      <c r="E195" s="9" t="str">
        <f>"2018012111"</f>
        <v>2018012111</v>
      </c>
      <c r="F195" s="9">
        <v>34</v>
      </c>
      <c r="G195" s="9">
        <v>97</v>
      </c>
      <c r="H195" s="9">
        <f t="shared" si="11"/>
        <v>78.099999999999994</v>
      </c>
      <c r="I195" s="9"/>
    </row>
    <row r="196" spans="1:9" ht="18.75" customHeight="1">
      <c r="A196" s="3" t="str">
        <f>"10522018022610285781676"</f>
        <v>10522018022610285781676</v>
      </c>
      <c r="B196" s="25">
        <v>194</v>
      </c>
      <c r="C196" s="8" t="s">
        <v>13</v>
      </c>
      <c r="D196" s="12" t="str">
        <f t="shared" si="12"/>
        <v>护理</v>
      </c>
      <c r="E196" s="9" t="str">
        <f>"2018010702"</f>
        <v>2018010702</v>
      </c>
      <c r="F196" s="9">
        <v>43</v>
      </c>
      <c r="G196" s="9">
        <v>93</v>
      </c>
      <c r="H196" s="9">
        <f t="shared" si="11"/>
        <v>78</v>
      </c>
      <c r="I196" s="9"/>
    </row>
    <row r="197" spans="1:9" ht="18.75" customHeight="1">
      <c r="A197" s="3" t="str">
        <f>"10522018030115533082937"</f>
        <v>10522018030115533082937</v>
      </c>
      <c r="B197" s="25">
        <v>195</v>
      </c>
      <c r="C197" s="8" t="s">
        <v>13</v>
      </c>
      <c r="D197" s="12" t="str">
        <f t="shared" si="12"/>
        <v>护理</v>
      </c>
      <c r="E197" s="9" t="str">
        <f>"2018011802"</f>
        <v>2018011802</v>
      </c>
      <c r="F197" s="9">
        <v>50</v>
      </c>
      <c r="G197" s="9">
        <v>90</v>
      </c>
      <c r="H197" s="9">
        <f t="shared" si="11"/>
        <v>78</v>
      </c>
      <c r="I197" s="9"/>
    </row>
    <row r="198" spans="1:9" ht="18.75" customHeight="1">
      <c r="A198" s="3" t="str">
        <f>"10522018022613593781864"</f>
        <v>10522018022613593781864</v>
      </c>
      <c r="B198" s="25">
        <v>196</v>
      </c>
      <c r="C198" s="8" t="s">
        <v>13</v>
      </c>
      <c r="D198" s="12" t="str">
        <f t="shared" si="12"/>
        <v>护理</v>
      </c>
      <c r="E198" s="9" t="str">
        <f>"2018010801"</f>
        <v>2018010801</v>
      </c>
      <c r="F198" s="9">
        <v>33.5</v>
      </c>
      <c r="G198" s="9">
        <v>97</v>
      </c>
      <c r="H198" s="9">
        <f t="shared" si="11"/>
        <v>77.949999999999989</v>
      </c>
      <c r="I198" s="9"/>
    </row>
    <row r="199" spans="1:9" ht="18.75" customHeight="1">
      <c r="A199" s="3" t="str">
        <f>"10522018022613371281851"</f>
        <v>10522018022613371281851</v>
      </c>
      <c r="B199" s="25">
        <v>197</v>
      </c>
      <c r="C199" s="8" t="s">
        <v>13</v>
      </c>
      <c r="D199" s="12" t="str">
        <f t="shared" si="12"/>
        <v>护理</v>
      </c>
      <c r="E199" s="9" t="str">
        <f>"2018010913"</f>
        <v>2018010913</v>
      </c>
      <c r="F199" s="9">
        <v>42.5</v>
      </c>
      <c r="G199" s="9">
        <v>93</v>
      </c>
      <c r="H199" s="9">
        <f t="shared" si="11"/>
        <v>77.849999999999994</v>
      </c>
      <c r="I199" s="9"/>
    </row>
    <row r="200" spans="1:9" ht="18.75" customHeight="1">
      <c r="A200" s="3" t="str">
        <f>"10522018022712001482207"</f>
        <v>10522018022712001482207</v>
      </c>
      <c r="B200" s="25">
        <v>198</v>
      </c>
      <c r="C200" s="8" t="s">
        <v>13</v>
      </c>
      <c r="D200" s="12" t="str">
        <f t="shared" si="12"/>
        <v>护理</v>
      </c>
      <c r="E200" s="9" t="str">
        <f>"2018011212"</f>
        <v>2018011212</v>
      </c>
      <c r="F200" s="9">
        <v>30.5</v>
      </c>
      <c r="G200" s="9">
        <v>98</v>
      </c>
      <c r="H200" s="9">
        <f t="shared" si="11"/>
        <v>77.75</v>
      </c>
      <c r="I200" s="9"/>
    </row>
    <row r="201" spans="1:9" ht="18.75" customHeight="1">
      <c r="A201" s="3" t="str">
        <f>"10522018030208461283074"</f>
        <v>10522018030208461283074</v>
      </c>
      <c r="B201" s="25">
        <v>199</v>
      </c>
      <c r="C201" s="8" t="s">
        <v>13</v>
      </c>
      <c r="D201" s="12" t="str">
        <f t="shared" si="12"/>
        <v>护理</v>
      </c>
      <c r="E201" s="9" t="str">
        <f>"2018011901"</f>
        <v>2018011901</v>
      </c>
      <c r="F201" s="9">
        <v>44.5</v>
      </c>
      <c r="G201" s="9">
        <v>92</v>
      </c>
      <c r="H201" s="9">
        <f t="shared" si="11"/>
        <v>77.749999999999986</v>
      </c>
      <c r="I201" s="9"/>
    </row>
    <row r="202" spans="1:9" ht="18.75" customHeight="1">
      <c r="A202" s="3" t="str">
        <f>"10522018022611564181774"</f>
        <v>10522018022611564181774</v>
      </c>
      <c r="B202" s="25">
        <v>200</v>
      </c>
      <c r="C202" s="8" t="s">
        <v>13</v>
      </c>
      <c r="D202" s="12" t="str">
        <f t="shared" si="12"/>
        <v>护理</v>
      </c>
      <c r="E202" s="9" t="str">
        <f>"2018011919"</f>
        <v>2018011919</v>
      </c>
      <c r="F202" s="9">
        <v>28</v>
      </c>
      <c r="G202" s="9">
        <v>99</v>
      </c>
      <c r="H202" s="9">
        <f t="shared" si="11"/>
        <v>77.7</v>
      </c>
      <c r="I202" s="9"/>
    </row>
    <row r="203" spans="1:9" ht="18.75" customHeight="1">
      <c r="A203" s="3" t="str">
        <f>"10522018022613211081835"</f>
        <v>10522018022613211081835</v>
      </c>
      <c r="B203" s="25">
        <v>201</v>
      </c>
      <c r="C203" s="8" t="s">
        <v>13</v>
      </c>
      <c r="D203" s="12" t="str">
        <f t="shared" si="12"/>
        <v>护理</v>
      </c>
      <c r="E203" s="9" t="str">
        <f>"2018011723"</f>
        <v>2018011723</v>
      </c>
      <c r="F203" s="9">
        <v>46</v>
      </c>
      <c r="G203" s="9">
        <v>91</v>
      </c>
      <c r="H203" s="9">
        <f t="shared" si="11"/>
        <v>77.5</v>
      </c>
      <c r="I203" s="9"/>
    </row>
    <row r="204" spans="1:9" ht="18.75" customHeight="1">
      <c r="A204" s="3" t="str">
        <f>"10522018022808551482472"</f>
        <v>10522018022808551482472</v>
      </c>
      <c r="B204" s="25">
        <v>202</v>
      </c>
      <c r="C204" s="8" t="s">
        <v>13</v>
      </c>
      <c r="D204" s="12" t="str">
        <f t="shared" si="12"/>
        <v>护理</v>
      </c>
      <c r="E204" s="9" t="str">
        <f>"2018010905"</f>
        <v>2018010905</v>
      </c>
      <c r="F204" s="9">
        <v>47.5</v>
      </c>
      <c r="G204" s="9">
        <v>90</v>
      </c>
      <c r="H204" s="9">
        <f t="shared" si="11"/>
        <v>77.25</v>
      </c>
      <c r="I204" s="9"/>
    </row>
    <row r="205" spans="1:9" ht="18.75" customHeight="1">
      <c r="A205" s="3" t="str">
        <f>"10522018022617470281994"</f>
        <v>10522018022617470281994</v>
      </c>
      <c r="B205" s="25">
        <v>203</v>
      </c>
      <c r="C205" s="8" t="s">
        <v>13</v>
      </c>
      <c r="D205" s="12" t="str">
        <f t="shared" si="12"/>
        <v>护理</v>
      </c>
      <c r="E205" s="9" t="str">
        <f>"2018010908"</f>
        <v>2018010908</v>
      </c>
      <c r="F205" s="9">
        <v>40.5</v>
      </c>
      <c r="G205" s="9">
        <v>93</v>
      </c>
      <c r="H205" s="9">
        <f t="shared" si="11"/>
        <v>77.25</v>
      </c>
      <c r="I205" s="9"/>
    </row>
    <row r="206" spans="1:9" ht="18.75" customHeight="1">
      <c r="A206" s="3" t="str">
        <f>"10522018022811451182549"</f>
        <v>10522018022811451182549</v>
      </c>
      <c r="B206" s="25">
        <v>204</v>
      </c>
      <c r="C206" s="8" t="s">
        <v>13</v>
      </c>
      <c r="D206" s="12" t="str">
        <f t="shared" si="12"/>
        <v>护理</v>
      </c>
      <c r="E206" s="9" t="str">
        <f>"2018011729"</f>
        <v>2018011729</v>
      </c>
      <c r="F206" s="9">
        <v>38</v>
      </c>
      <c r="G206" s="9">
        <v>94</v>
      </c>
      <c r="H206" s="9">
        <f t="shared" si="11"/>
        <v>77.2</v>
      </c>
      <c r="I206" s="9"/>
    </row>
    <row r="207" spans="1:9" ht="18.75" customHeight="1">
      <c r="A207" s="3" t="str">
        <f>"10522018030117584482980"</f>
        <v>10522018030117584482980</v>
      </c>
      <c r="B207" s="25">
        <v>205</v>
      </c>
      <c r="C207" s="8" t="s">
        <v>13</v>
      </c>
      <c r="D207" s="12" t="str">
        <f t="shared" si="12"/>
        <v>护理</v>
      </c>
      <c r="E207" s="9" t="str">
        <f>"2018011102"</f>
        <v>2018011102</v>
      </c>
      <c r="F207" s="9">
        <v>31</v>
      </c>
      <c r="G207" s="9">
        <v>97</v>
      </c>
      <c r="H207" s="9">
        <f t="shared" si="11"/>
        <v>77.199999999999989</v>
      </c>
      <c r="I207" s="9"/>
    </row>
    <row r="208" spans="1:9" ht="18.75" customHeight="1">
      <c r="A208" s="3" t="str">
        <f>"10522018022810413282518"</f>
        <v>10522018022810413282518</v>
      </c>
      <c r="B208" s="25">
        <v>206</v>
      </c>
      <c r="C208" s="8" t="s">
        <v>13</v>
      </c>
      <c r="D208" s="12" t="str">
        <f t="shared" si="12"/>
        <v>护理</v>
      </c>
      <c r="E208" s="9" t="str">
        <f>"2018012013"</f>
        <v>2018012013</v>
      </c>
      <c r="F208" s="9">
        <v>45</v>
      </c>
      <c r="G208" s="9">
        <v>91</v>
      </c>
      <c r="H208" s="9">
        <f t="shared" si="11"/>
        <v>77.199999999999989</v>
      </c>
      <c r="I208" s="9"/>
    </row>
    <row r="209" spans="1:9" ht="18.75" customHeight="1">
      <c r="A209" s="3" t="str">
        <f>"10522018022818093482679"</f>
        <v>10522018022818093482679</v>
      </c>
      <c r="B209" s="25">
        <v>207</v>
      </c>
      <c r="C209" s="8" t="s">
        <v>13</v>
      </c>
      <c r="D209" s="12" t="str">
        <f t="shared" si="12"/>
        <v>护理</v>
      </c>
      <c r="E209" s="9" t="str">
        <f>"2018011504"</f>
        <v>2018011504</v>
      </c>
      <c r="F209" s="9">
        <v>35.5</v>
      </c>
      <c r="G209" s="9">
        <v>95</v>
      </c>
      <c r="H209" s="9">
        <f t="shared" si="11"/>
        <v>77.150000000000006</v>
      </c>
      <c r="I209" s="9"/>
    </row>
    <row r="210" spans="1:9" s="23" customFormat="1" ht="18.75" customHeight="1">
      <c r="A210" s="22"/>
      <c r="B210" s="25">
        <v>208</v>
      </c>
      <c r="C210" s="29" t="s">
        <v>54</v>
      </c>
      <c r="D210" s="31" t="s">
        <v>43</v>
      </c>
      <c r="E210" s="30" t="s">
        <v>44</v>
      </c>
      <c r="F210" s="30">
        <v>58.5</v>
      </c>
      <c r="G210" s="30">
        <v>85</v>
      </c>
      <c r="H210" s="30">
        <v>77.05</v>
      </c>
      <c r="I210" s="27"/>
    </row>
    <row r="211" spans="1:9" s="23" customFormat="1" ht="18.75" customHeight="1">
      <c r="A211" s="22"/>
      <c r="B211" s="25">
        <v>209</v>
      </c>
      <c r="C211" s="29" t="s">
        <v>54</v>
      </c>
      <c r="D211" s="31" t="s">
        <v>43</v>
      </c>
      <c r="E211" s="30" t="s">
        <v>45</v>
      </c>
      <c r="F211" s="30">
        <v>42</v>
      </c>
      <c r="G211" s="30">
        <v>92</v>
      </c>
      <c r="H211" s="30">
        <v>76.999999999999986</v>
      </c>
      <c r="I211" s="27"/>
    </row>
    <row r="212" spans="1:9" s="23" customFormat="1" ht="18.75" customHeight="1">
      <c r="A212" s="22"/>
      <c r="B212" s="25">
        <v>210</v>
      </c>
      <c r="C212" s="29" t="s">
        <v>54</v>
      </c>
      <c r="D212" s="31" t="s">
        <v>43</v>
      </c>
      <c r="E212" s="30" t="s">
        <v>46</v>
      </c>
      <c r="F212" s="30">
        <v>39.5</v>
      </c>
      <c r="G212" s="30">
        <v>93</v>
      </c>
      <c r="H212" s="30">
        <v>76.949999999999989</v>
      </c>
      <c r="I212" s="27"/>
    </row>
    <row r="213" spans="1:9" s="23" customFormat="1" ht="18.75" customHeight="1">
      <c r="A213" s="22"/>
      <c r="B213" s="25">
        <v>211</v>
      </c>
      <c r="C213" s="29" t="s">
        <v>54</v>
      </c>
      <c r="D213" s="31" t="s">
        <v>43</v>
      </c>
      <c r="E213" s="30" t="s">
        <v>47</v>
      </c>
      <c r="F213" s="30">
        <v>39.5</v>
      </c>
      <c r="G213" s="30">
        <v>93</v>
      </c>
      <c r="H213" s="30">
        <v>76.949999999999989</v>
      </c>
      <c r="I213" s="27"/>
    </row>
    <row r="214" spans="1:9" s="23" customFormat="1" ht="18.75" customHeight="1">
      <c r="A214" s="22"/>
      <c r="B214" s="25">
        <v>212</v>
      </c>
      <c r="C214" s="29" t="s">
        <v>54</v>
      </c>
      <c r="D214" s="31" t="s">
        <v>43</v>
      </c>
      <c r="E214" s="30" t="s">
        <v>48</v>
      </c>
      <c r="F214" s="30">
        <v>44</v>
      </c>
      <c r="G214" s="30">
        <v>91</v>
      </c>
      <c r="H214" s="30">
        <v>76.899999999999991</v>
      </c>
      <c r="I214" s="27"/>
    </row>
    <row r="215" spans="1:9" s="23" customFormat="1" ht="18.75" customHeight="1">
      <c r="A215" s="22"/>
      <c r="B215" s="25">
        <v>213</v>
      </c>
      <c r="C215" s="29" t="s">
        <v>54</v>
      </c>
      <c r="D215" s="31" t="s">
        <v>43</v>
      </c>
      <c r="E215" s="30" t="s">
        <v>49</v>
      </c>
      <c r="F215" s="30">
        <v>58</v>
      </c>
      <c r="G215" s="30">
        <v>85</v>
      </c>
      <c r="H215" s="30">
        <v>76.899999999999991</v>
      </c>
      <c r="I215" s="27"/>
    </row>
    <row r="216" spans="1:9" s="23" customFormat="1" ht="18.75" customHeight="1">
      <c r="A216" s="22"/>
      <c r="B216" s="25">
        <v>214</v>
      </c>
      <c r="C216" s="29" t="s">
        <v>54</v>
      </c>
      <c r="D216" s="31" t="s">
        <v>43</v>
      </c>
      <c r="E216" s="30" t="s">
        <v>50</v>
      </c>
      <c r="F216" s="30">
        <v>53</v>
      </c>
      <c r="G216" s="30">
        <v>87</v>
      </c>
      <c r="H216" s="30">
        <v>76.8</v>
      </c>
      <c r="I216" s="27"/>
    </row>
    <row r="217" spans="1:9" s="23" customFormat="1" ht="18.75" customHeight="1">
      <c r="A217" s="22"/>
      <c r="B217" s="25">
        <v>215</v>
      </c>
      <c r="C217" s="29" t="s">
        <v>54</v>
      </c>
      <c r="D217" s="31" t="s">
        <v>43</v>
      </c>
      <c r="E217" s="30" t="s">
        <v>51</v>
      </c>
      <c r="F217" s="30">
        <v>39</v>
      </c>
      <c r="G217" s="30">
        <v>93</v>
      </c>
      <c r="H217" s="30">
        <v>76.8</v>
      </c>
      <c r="I217" s="27"/>
    </row>
    <row r="218" spans="1:9" s="23" customFormat="1" ht="18.75" customHeight="1">
      <c r="A218" s="22"/>
      <c r="B218" s="25">
        <v>216</v>
      </c>
      <c r="C218" s="29" t="s">
        <v>54</v>
      </c>
      <c r="D218" s="31" t="s">
        <v>43</v>
      </c>
      <c r="E218" s="30" t="s">
        <v>52</v>
      </c>
      <c r="F218" s="30">
        <v>36.5</v>
      </c>
      <c r="G218" s="30">
        <v>94</v>
      </c>
      <c r="H218" s="30">
        <v>76.75</v>
      </c>
      <c r="I218" s="27"/>
    </row>
    <row r="219" spans="1:9" s="23" customFormat="1" ht="18.75" customHeight="1">
      <c r="A219" s="22"/>
      <c r="B219" s="25">
        <v>217</v>
      </c>
      <c r="C219" s="29" t="s">
        <v>54</v>
      </c>
      <c r="D219" s="31" t="s">
        <v>43</v>
      </c>
      <c r="E219" s="30" t="s">
        <v>53</v>
      </c>
      <c r="F219" s="30">
        <v>33</v>
      </c>
      <c r="G219" s="30">
        <v>95.5</v>
      </c>
      <c r="H219" s="30">
        <v>76.75</v>
      </c>
      <c r="I219" s="27"/>
    </row>
    <row r="220" spans="1:9" s="23" customFormat="1" ht="18.75" customHeight="1">
      <c r="A220" s="22"/>
      <c r="B220" s="25">
        <v>218</v>
      </c>
      <c r="C220" s="29" t="s">
        <v>58</v>
      </c>
      <c r="D220" s="31" t="s">
        <v>43</v>
      </c>
      <c r="E220" s="30">
        <v>2018011513</v>
      </c>
      <c r="F220" s="30">
        <v>31.5</v>
      </c>
      <c r="G220" s="30">
        <v>96</v>
      </c>
      <c r="H220" s="30">
        <v>76.650000000000006</v>
      </c>
      <c r="I220" s="27"/>
    </row>
    <row r="221" spans="1:9" ht="18.75" customHeight="1">
      <c r="A221" s="3" t="str">
        <f>"10522018022817584482672"</f>
        <v>10522018022817584482672</v>
      </c>
      <c r="B221" s="25">
        <v>219</v>
      </c>
      <c r="C221" s="8" t="s">
        <v>14</v>
      </c>
      <c r="D221" s="12" t="str">
        <f>"护理学"</f>
        <v>护理学</v>
      </c>
      <c r="E221" s="9" t="str">
        <f>"2018012310"</f>
        <v>2018012310</v>
      </c>
      <c r="F221" s="9">
        <v>61.5</v>
      </c>
      <c r="G221" s="9">
        <v>97</v>
      </c>
      <c r="H221" s="9">
        <f t="shared" si="11"/>
        <v>86.35</v>
      </c>
      <c r="I221" s="9"/>
    </row>
    <row r="222" spans="1:9" ht="18.75" customHeight="1">
      <c r="A222" s="3" t="str">
        <f>"10522018022812403882565"</f>
        <v>10522018022812403882565</v>
      </c>
      <c r="B222" s="25">
        <v>220</v>
      </c>
      <c r="C222" s="8" t="s">
        <v>14</v>
      </c>
      <c r="D222" s="12" t="str">
        <f>"护理"</f>
        <v>护理</v>
      </c>
      <c r="E222" s="9" t="str">
        <f>"2018012306"</f>
        <v>2018012306</v>
      </c>
      <c r="F222" s="9">
        <v>45.5</v>
      </c>
      <c r="G222" s="9">
        <v>101</v>
      </c>
      <c r="H222" s="9">
        <f t="shared" si="11"/>
        <v>84.35</v>
      </c>
      <c r="I222" s="9"/>
    </row>
    <row r="223" spans="1:9" ht="18.75" customHeight="1">
      <c r="A223" s="3" t="str">
        <f>"10522018022619563682043"</f>
        <v>10522018022619563682043</v>
      </c>
      <c r="B223" s="25">
        <v>221</v>
      </c>
      <c r="C223" s="8" t="s">
        <v>14</v>
      </c>
      <c r="D223" s="12" t="str">
        <f>"护理"</f>
        <v>护理</v>
      </c>
      <c r="E223" s="9" t="str">
        <f>"2018012225"</f>
        <v>2018012225</v>
      </c>
      <c r="F223" s="9">
        <v>42</v>
      </c>
      <c r="G223" s="9">
        <v>100</v>
      </c>
      <c r="H223" s="9">
        <f t="shared" si="11"/>
        <v>82.6</v>
      </c>
      <c r="I223" s="9"/>
    </row>
    <row r="224" spans="1:9" ht="18.75" customHeight="1">
      <c r="A224" s="3" t="str">
        <f>"10522018030110445882828"</f>
        <v>10522018030110445882828</v>
      </c>
      <c r="B224" s="25">
        <v>222</v>
      </c>
      <c r="C224" s="8" t="s">
        <v>14</v>
      </c>
      <c r="D224" s="12" t="str">
        <f>"护理"</f>
        <v>护理</v>
      </c>
      <c r="E224" s="9" t="str">
        <f>"2018012305"</f>
        <v>2018012305</v>
      </c>
      <c r="F224" s="9">
        <v>50</v>
      </c>
      <c r="G224" s="9">
        <v>93</v>
      </c>
      <c r="H224" s="9">
        <f t="shared" si="11"/>
        <v>80.099999999999994</v>
      </c>
      <c r="I224" s="9"/>
    </row>
    <row r="225" spans="1:9" ht="18.75" customHeight="1">
      <c r="A225" s="3" t="str">
        <f>"10522018022612582581822"</f>
        <v>10522018022612582581822</v>
      </c>
      <c r="B225" s="25">
        <v>223</v>
      </c>
      <c r="C225" s="8" t="s">
        <v>14</v>
      </c>
      <c r="D225" s="12" t="str">
        <f>"护理专业"</f>
        <v>护理专业</v>
      </c>
      <c r="E225" s="9" t="str">
        <f>"2018012215"</f>
        <v>2018012215</v>
      </c>
      <c r="F225" s="9">
        <v>50</v>
      </c>
      <c r="G225" s="9">
        <v>92</v>
      </c>
      <c r="H225" s="9">
        <f t="shared" si="11"/>
        <v>79.399999999999991</v>
      </c>
      <c r="I225" s="9"/>
    </row>
    <row r="226" spans="1:9" ht="18.75" customHeight="1">
      <c r="A226" s="3" t="str">
        <f>"10522018022615175881915"</f>
        <v>10522018022615175881915</v>
      </c>
      <c r="B226" s="25">
        <v>224</v>
      </c>
      <c r="C226" s="8" t="s">
        <v>14</v>
      </c>
      <c r="D226" s="12" t="str">
        <f t="shared" ref="D226:D247" si="13">"护理"</f>
        <v>护理</v>
      </c>
      <c r="E226" s="9" t="str">
        <f>"2018012226"</f>
        <v>2018012226</v>
      </c>
      <c r="F226" s="9">
        <v>50.5</v>
      </c>
      <c r="G226" s="9">
        <v>90</v>
      </c>
      <c r="H226" s="9">
        <f t="shared" si="11"/>
        <v>78.149999999999991</v>
      </c>
      <c r="I226" s="9"/>
    </row>
    <row r="227" spans="1:9" ht="18.75" customHeight="1">
      <c r="A227" s="3" t="str">
        <f>"10522018022609474181630"</f>
        <v>10522018022609474181630</v>
      </c>
      <c r="B227" s="25">
        <v>225</v>
      </c>
      <c r="C227" s="8" t="s">
        <v>14</v>
      </c>
      <c r="D227" s="12" t="str">
        <f t="shared" si="13"/>
        <v>护理</v>
      </c>
      <c r="E227" s="9" t="str">
        <f>"2018012316"</f>
        <v>2018012316</v>
      </c>
      <c r="F227" s="9">
        <v>38.5</v>
      </c>
      <c r="G227" s="9">
        <v>95</v>
      </c>
      <c r="H227" s="9">
        <f t="shared" si="11"/>
        <v>78.05</v>
      </c>
      <c r="I227" s="9"/>
    </row>
    <row r="228" spans="1:9" ht="18.75" customHeight="1">
      <c r="A228" s="3" t="str">
        <f>"10522018022821021282738"</f>
        <v>10522018022821021282738</v>
      </c>
      <c r="B228" s="25">
        <v>226</v>
      </c>
      <c r="C228" s="8" t="s">
        <v>14</v>
      </c>
      <c r="D228" s="12" t="str">
        <f t="shared" si="13"/>
        <v>护理</v>
      </c>
      <c r="E228" s="9" t="str">
        <f>"2018012220"</f>
        <v>2018012220</v>
      </c>
      <c r="F228" s="9">
        <v>51</v>
      </c>
      <c r="G228" s="9">
        <v>86</v>
      </c>
      <c r="H228" s="9">
        <f t="shared" si="11"/>
        <v>75.5</v>
      </c>
      <c r="I228" s="9"/>
    </row>
    <row r="229" spans="1:9" ht="18.75" customHeight="1">
      <c r="A229" s="3" t="str">
        <f>"10522018022720131182391"</f>
        <v>10522018022720131182391</v>
      </c>
      <c r="B229" s="25">
        <v>227</v>
      </c>
      <c r="C229" s="8" t="s">
        <v>14</v>
      </c>
      <c r="D229" s="12" t="str">
        <f t="shared" si="13"/>
        <v>护理</v>
      </c>
      <c r="E229" s="9" t="str">
        <f>"2018012227"</f>
        <v>2018012227</v>
      </c>
      <c r="F229" s="9">
        <v>58</v>
      </c>
      <c r="G229" s="9">
        <v>83</v>
      </c>
      <c r="H229" s="9">
        <f t="shared" si="11"/>
        <v>75.5</v>
      </c>
      <c r="I229" s="9"/>
    </row>
    <row r="230" spans="1:9" ht="18.75" customHeight="1">
      <c r="A230" s="3" t="str">
        <f>"10522018030113265382892"</f>
        <v>10522018030113265382892</v>
      </c>
      <c r="B230" s="25">
        <v>228</v>
      </c>
      <c r="C230" s="8" t="s">
        <v>14</v>
      </c>
      <c r="D230" s="12" t="str">
        <f t="shared" si="13"/>
        <v>护理</v>
      </c>
      <c r="E230" s="9" t="str">
        <f>"2018012229"</f>
        <v>2018012229</v>
      </c>
      <c r="F230" s="9">
        <v>44</v>
      </c>
      <c r="G230" s="9">
        <v>88</v>
      </c>
      <c r="H230" s="9">
        <f t="shared" si="11"/>
        <v>74.8</v>
      </c>
      <c r="I230" s="9"/>
    </row>
    <row r="231" spans="1:9" ht="18.75" customHeight="1">
      <c r="A231" s="3" t="str">
        <f>"10522018022616234481953"</f>
        <v>10522018022616234481953</v>
      </c>
      <c r="B231" s="25">
        <v>229</v>
      </c>
      <c r="C231" s="8" t="s">
        <v>14</v>
      </c>
      <c r="D231" s="12" t="str">
        <f t="shared" si="13"/>
        <v>护理</v>
      </c>
      <c r="E231" s="9" t="str">
        <f>"2018012326"</f>
        <v>2018012326</v>
      </c>
      <c r="F231" s="9">
        <v>45</v>
      </c>
      <c r="G231" s="9">
        <v>86</v>
      </c>
      <c r="H231" s="9">
        <f t="shared" si="11"/>
        <v>73.699999999999989</v>
      </c>
      <c r="I231" s="9"/>
    </row>
    <row r="232" spans="1:9" ht="18.75" customHeight="1">
      <c r="A232" s="3" t="str">
        <f>"10522018022610273381673"</f>
        <v>10522018022610273381673</v>
      </c>
      <c r="B232" s="25">
        <v>230</v>
      </c>
      <c r="C232" s="8" t="s">
        <v>14</v>
      </c>
      <c r="D232" s="12" t="str">
        <f t="shared" si="13"/>
        <v>护理</v>
      </c>
      <c r="E232" s="9" t="str">
        <f>"2018012217"</f>
        <v>2018012217</v>
      </c>
      <c r="F232" s="9">
        <v>46.5</v>
      </c>
      <c r="G232" s="9">
        <v>85</v>
      </c>
      <c r="H232" s="9">
        <f t="shared" si="11"/>
        <v>73.449999999999989</v>
      </c>
      <c r="I232" s="9"/>
    </row>
    <row r="233" spans="1:9" ht="18.75" customHeight="1">
      <c r="A233" s="3" t="str">
        <f>"10522018022821490282754"</f>
        <v>10522018022821490282754</v>
      </c>
      <c r="B233" s="25">
        <v>231</v>
      </c>
      <c r="C233" s="8" t="s">
        <v>14</v>
      </c>
      <c r="D233" s="12" t="str">
        <f t="shared" si="13"/>
        <v>护理</v>
      </c>
      <c r="E233" s="9" t="str">
        <f>"2018012308"</f>
        <v>2018012308</v>
      </c>
      <c r="F233" s="9">
        <v>39.5</v>
      </c>
      <c r="G233" s="9">
        <v>88</v>
      </c>
      <c r="H233" s="9">
        <f t="shared" si="11"/>
        <v>73.449999999999989</v>
      </c>
      <c r="I233" s="9"/>
    </row>
    <row r="234" spans="1:9" ht="18.75" customHeight="1">
      <c r="A234" s="3" t="str">
        <f>"10522018022821405382751"</f>
        <v>10522018022821405382751</v>
      </c>
      <c r="B234" s="25">
        <v>232</v>
      </c>
      <c r="C234" s="8" t="s">
        <v>14</v>
      </c>
      <c r="D234" s="12" t="str">
        <f t="shared" si="13"/>
        <v>护理</v>
      </c>
      <c r="E234" s="9" t="str">
        <f>"2018012319"</f>
        <v>2018012319</v>
      </c>
      <c r="F234" s="9">
        <v>40.5</v>
      </c>
      <c r="G234" s="9">
        <v>87</v>
      </c>
      <c r="H234" s="9">
        <f t="shared" si="11"/>
        <v>73.05</v>
      </c>
      <c r="I234" s="9"/>
    </row>
    <row r="235" spans="1:9" ht="18.75" customHeight="1">
      <c r="A235" s="3" t="str">
        <f>"10522018022811335182542"</f>
        <v>10522018022811335182542</v>
      </c>
      <c r="B235" s="25">
        <v>233</v>
      </c>
      <c r="C235" s="8" t="s">
        <v>14</v>
      </c>
      <c r="D235" s="12" t="str">
        <f t="shared" si="13"/>
        <v>护理</v>
      </c>
      <c r="E235" s="9" t="str">
        <f>"2018012327"</f>
        <v>2018012327</v>
      </c>
      <c r="F235" s="9">
        <v>46.5</v>
      </c>
      <c r="G235" s="9">
        <v>84</v>
      </c>
      <c r="H235" s="9">
        <f t="shared" si="11"/>
        <v>72.75</v>
      </c>
      <c r="I235" s="9"/>
    </row>
    <row r="236" spans="1:9" ht="18.75" customHeight="1">
      <c r="A236" s="3" t="str">
        <f>"10522018022617433481992"</f>
        <v>10522018022617433481992</v>
      </c>
      <c r="B236" s="25">
        <v>234</v>
      </c>
      <c r="C236" s="8" t="s">
        <v>14</v>
      </c>
      <c r="D236" s="12" t="str">
        <f t="shared" si="13"/>
        <v>护理</v>
      </c>
      <c r="E236" s="9" t="str">
        <f>"2018012317"</f>
        <v>2018012317</v>
      </c>
      <c r="F236" s="9">
        <v>44</v>
      </c>
      <c r="G236" s="9">
        <v>85</v>
      </c>
      <c r="H236" s="9">
        <f t="shared" si="11"/>
        <v>72.699999999999989</v>
      </c>
      <c r="I236" s="9"/>
    </row>
    <row r="237" spans="1:9" ht="18.75" customHeight="1">
      <c r="A237" s="3" t="str">
        <f>"10522018030207212183064"</f>
        <v>10522018030207212183064</v>
      </c>
      <c r="B237" s="25">
        <v>235</v>
      </c>
      <c r="C237" s="8" t="s">
        <v>14</v>
      </c>
      <c r="D237" s="12" t="str">
        <f t="shared" si="13"/>
        <v>护理</v>
      </c>
      <c r="E237" s="9" t="str">
        <f>"2018012212"</f>
        <v>2018012212</v>
      </c>
      <c r="F237" s="9">
        <v>46.5</v>
      </c>
      <c r="G237" s="9">
        <v>83</v>
      </c>
      <c r="H237" s="9">
        <f t="shared" si="11"/>
        <v>72.05</v>
      </c>
      <c r="I237" s="9"/>
    </row>
    <row r="238" spans="1:9" ht="18.75" customHeight="1">
      <c r="A238" s="3" t="str">
        <f>"10522018022614131481872"</f>
        <v>10522018022614131481872</v>
      </c>
      <c r="B238" s="25">
        <v>236</v>
      </c>
      <c r="C238" s="8" t="s">
        <v>14</v>
      </c>
      <c r="D238" s="12" t="str">
        <f t="shared" si="13"/>
        <v>护理</v>
      </c>
      <c r="E238" s="9" t="str">
        <f>"2018012214"</f>
        <v>2018012214</v>
      </c>
      <c r="F238" s="9">
        <v>42</v>
      </c>
      <c r="G238" s="9">
        <v>84</v>
      </c>
      <c r="H238" s="9">
        <f t="shared" si="11"/>
        <v>71.399999999999991</v>
      </c>
      <c r="I238" s="9"/>
    </row>
    <row r="239" spans="1:9" ht="18.75" customHeight="1">
      <c r="A239" s="3" t="str">
        <f>"10522018022816410182651"</f>
        <v>10522018022816410182651</v>
      </c>
      <c r="B239" s="25">
        <v>237</v>
      </c>
      <c r="C239" s="8" t="s">
        <v>14</v>
      </c>
      <c r="D239" s="12" t="str">
        <f t="shared" si="13"/>
        <v>护理</v>
      </c>
      <c r="E239" s="9" t="str">
        <f>"2018012309"</f>
        <v>2018012309</v>
      </c>
      <c r="F239" s="9">
        <v>43</v>
      </c>
      <c r="G239" s="9">
        <v>83</v>
      </c>
      <c r="H239" s="9">
        <f t="shared" si="11"/>
        <v>71</v>
      </c>
      <c r="I239" s="9"/>
    </row>
    <row r="240" spans="1:9" ht="18.75" customHeight="1">
      <c r="A240" s="3" t="str">
        <f>"10522018022611170981750"</f>
        <v>10522018022611170981750</v>
      </c>
      <c r="B240" s="25">
        <v>238</v>
      </c>
      <c r="C240" s="8" t="s">
        <v>14</v>
      </c>
      <c r="D240" s="12" t="str">
        <f t="shared" si="13"/>
        <v>护理</v>
      </c>
      <c r="E240" s="9" t="str">
        <f>"2018012314"</f>
        <v>2018012314</v>
      </c>
      <c r="F240" s="9">
        <v>50</v>
      </c>
      <c r="G240" s="9">
        <v>80</v>
      </c>
      <c r="H240" s="9">
        <f t="shared" si="11"/>
        <v>71</v>
      </c>
      <c r="I240" s="9"/>
    </row>
    <row r="241" spans="1:9" ht="18.75" customHeight="1">
      <c r="A241" s="3" t="str">
        <f>"10522018022612435681806"</f>
        <v>10522018022612435681806</v>
      </c>
      <c r="B241" s="25">
        <v>239</v>
      </c>
      <c r="C241" s="8" t="s">
        <v>14</v>
      </c>
      <c r="D241" s="12" t="str">
        <f t="shared" si="13"/>
        <v>护理</v>
      </c>
      <c r="E241" s="9" t="str">
        <f>"2018012318"</f>
        <v>2018012318</v>
      </c>
      <c r="F241" s="9">
        <v>28.5</v>
      </c>
      <c r="G241" s="9">
        <v>89</v>
      </c>
      <c r="H241" s="9">
        <f t="shared" si="11"/>
        <v>70.849999999999994</v>
      </c>
      <c r="I241" s="9"/>
    </row>
    <row r="242" spans="1:9" ht="18.75" customHeight="1">
      <c r="A242" s="3" t="str">
        <f>"10522018022808160482462"</f>
        <v>10522018022808160482462</v>
      </c>
      <c r="B242" s="25">
        <v>240</v>
      </c>
      <c r="C242" s="8" t="s">
        <v>14</v>
      </c>
      <c r="D242" s="12" t="str">
        <f t="shared" si="13"/>
        <v>护理</v>
      </c>
      <c r="E242" s="9" t="str">
        <f>"2018012219"</f>
        <v>2018012219</v>
      </c>
      <c r="F242" s="9">
        <v>47</v>
      </c>
      <c r="G242" s="9">
        <v>80</v>
      </c>
      <c r="H242" s="9">
        <f t="shared" si="11"/>
        <v>70.099999999999994</v>
      </c>
      <c r="I242" s="9"/>
    </row>
    <row r="243" spans="1:9" ht="18.75" customHeight="1">
      <c r="A243" s="3" t="str">
        <f>"10522018022610473681710"</f>
        <v>10522018022610473681710</v>
      </c>
      <c r="B243" s="25">
        <v>241</v>
      </c>
      <c r="C243" s="8" t="s">
        <v>14</v>
      </c>
      <c r="D243" s="12" t="str">
        <f t="shared" si="13"/>
        <v>护理</v>
      </c>
      <c r="E243" s="9" t="str">
        <f>"2018012213"</f>
        <v>2018012213</v>
      </c>
      <c r="F243" s="9">
        <v>39.5</v>
      </c>
      <c r="G243" s="9">
        <v>83</v>
      </c>
      <c r="H243" s="9">
        <f t="shared" si="11"/>
        <v>69.949999999999989</v>
      </c>
      <c r="I243" s="9"/>
    </row>
    <row r="244" spans="1:9" ht="18.75" customHeight="1">
      <c r="A244" s="3" t="str">
        <f>"10522018022619522782040"</f>
        <v>10522018022619522782040</v>
      </c>
      <c r="B244" s="25">
        <v>242</v>
      </c>
      <c r="C244" s="8" t="s">
        <v>14</v>
      </c>
      <c r="D244" s="12" t="str">
        <f t="shared" si="13"/>
        <v>护理</v>
      </c>
      <c r="E244" s="9" t="str">
        <f>"2018012230"</f>
        <v>2018012230</v>
      </c>
      <c r="F244" s="9">
        <v>42</v>
      </c>
      <c r="G244" s="9">
        <v>80</v>
      </c>
      <c r="H244" s="9">
        <f t="shared" si="11"/>
        <v>68.599999999999994</v>
      </c>
      <c r="I244" s="9"/>
    </row>
    <row r="245" spans="1:9" ht="18.75" customHeight="1">
      <c r="A245" s="3" t="str">
        <f>"10522018022609041881566"</f>
        <v>10522018022609041881566</v>
      </c>
      <c r="B245" s="25">
        <v>243</v>
      </c>
      <c r="C245" s="8" t="s">
        <v>14</v>
      </c>
      <c r="D245" s="12" t="str">
        <f t="shared" si="13"/>
        <v>护理</v>
      </c>
      <c r="E245" s="9" t="str">
        <f>"2018012324"</f>
        <v>2018012324</v>
      </c>
      <c r="F245" s="9">
        <v>49.5</v>
      </c>
      <c r="G245" s="9">
        <v>73</v>
      </c>
      <c r="H245" s="9">
        <f t="shared" ref="H245:H303" si="14">F245*0.3+G245*0.7</f>
        <v>65.949999999999989</v>
      </c>
      <c r="I245" s="9"/>
    </row>
    <row r="246" spans="1:9" ht="18.75" customHeight="1">
      <c r="A246" s="3" t="str">
        <f>"10522018030112522082877"</f>
        <v>10522018030112522082877</v>
      </c>
      <c r="B246" s="25">
        <v>244</v>
      </c>
      <c r="C246" s="8" t="s">
        <v>14</v>
      </c>
      <c r="D246" s="12" t="str">
        <f t="shared" si="13"/>
        <v>护理</v>
      </c>
      <c r="E246" s="9" t="str">
        <f>"2018012311"</f>
        <v>2018012311</v>
      </c>
      <c r="F246" s="9">
        <v>30.5</v>
      </c>
      <c r="G246" s="9">
        <v>81</v>
      </c>
      <c r="H246" s="9">
        <f t="shared" si="14"/>
        <v>65.849999999999994</v>
      </c>
      <c r="I246" s="9"/>
    </row>
    <row r="247" spans="1:9" ht="18.75" customHeight="1">
      <c r="A247" s="3" t="str">
        <f>"10522018030108410882793"</f>
        <v>10522018030108410882793</v>
      </c>
      <c r="B247" s="25">
        <v>245</v>
      </c>
      <c r="C247" s="8" t="s">
        <v>14</v>
      </c>
      <c r="D247" s="12" t="str">
        <f t="shared" si="13"/>
        <v>护理</v>
      </c>
      <c r="E247" s="9" t="str">
        <f>"2018012222"</f>
        <v>2018012222</v>
      </c>
      <c r="F247" s="9">
        <v>40</v>
      </c>
      <c r="G247" s="9">
        <v>69</v>
      </c>
      <c r="H247" s="9">
        <f t="shared" si="14"/>
        <v>60.3</v>
      </c>
      <c r="I247" s="9"/>
    </row>
    <row r="248" spans="1:9" ht="18.75" customHeight="1">
      <c r="A248" s="3" t="str">
        <f>"10522018022610542181721"</f>
        <v>10522018022610542181721</v>
      </c>
      <c r="B248" s="25">
        <v>246</v>
      </c>
      <c r="C248" s="8" t="s">
        <v>15</v>
      </c>
      <c r="D248" s="12" t="str">
        <f t="shared" ref="D248:D265" si="15">"助产"</f>
        <v>助产</v>
      </c>
      <c r="E248" s="9" t="str">
        <f>"2018013320"</f>
        <v>2018013320</v>
      </c>
      <c r="F248" s="9">
        <v>47</v>
      </c>
      <c r="G248" s="9">
        <v>107</v>
      </c>
      <c r="H248" s="9">
        <f t="shared" si="14"/>
        <v>88.999999999999986</v>
      </c>
      <c r="I248" s="9"/>
    </row>
    <row r="249" spans="1:9" ht="18.75" customHeight="1">
      <c r="A249" s="3" t="str">
        <f>"10522018030117014382967"</f>
        <v>10522018030117014382967</v>
      </c>
      <c r="B249" s="25">
        <v>247</v>
      </c>
      <c r="C249" s="8" t="s">
        <v>15</v>
      </c>
      <c r="D249" s="12" t="str">
        <f t="shared" si="15"/>
        <v>助产</v>
      </c>
      <c r="E249" s="9" t="str">
        <f>"2018013513"</f>
        <v>2018013513</v>
      </c>
      <c r="F249" s="9">
        <v>63</v>
      </c>
      <c r="G249" s="9">
        <v>95</v>
      </c>
      <c r="H249" s="9">
        <f t="shared" si="14"/>
        <v>85.4</v>
      </c>
      <c r="I249" s="9"/>
    </row>
    <row r="250" spans="1:9" ht="18.75" customHeight="1">
      <c r="A250" s="3" t="str">
        <f>"10522018022614404881890"</f>
        <v>10522018022614404881890</v>
      </c>
      <c r="B250" s="25">
        <v>248</v>
      </c>
      <c r="C250" s="8" t="s">
        <v>15</v>
      </c>
      <c r="D250" s="12" t="str">
        <f t="shared" si="15"/>
        <v>助产</v>
      </c>
      <c r="E250" s="9" t="str">
        <f>"2018013311"</f>
        <v>2018013311</v>
      </c>
      <c r="F250" s="9">
        <v>76</v>
      </c>
      <c r="G250" s="9">
        <v>88</v>
      </c>
      <c r="H250" s="9">
        <f t="shared" si="14"/>
        <v>84.399999999999991</v>
      </c>
      <c r="I250" s="9"/>
    </row>
    <row r="251" spans="1:9" ht="18.75" customHeight="1">
      <c r="A251" s="3" t="str">
        <f>"10522018022812530782571"</f>
        <v>10522018022812530782571</v>
      </c>
      <c r="B251" s="25">
        <v>249</v>
      </c>
      <c r="C251" s="8" t="s">
        <v>15</v>
      </c>
      <c r="D251" s="12" t="str">
        <f t="shared" si="15"/>
        <v>助产</v>
      </c>
      <c r="E251" s="9" t="str">
        <f>"2018013327"</f>
        <v>2018013327</v>
      </c>
      <c r="F251" s="9">
        <v>55.5</v>
      </c>
      <c r="G251" s="9">
        <v>95</v>
      </c>
      <c r="H251" s="9">
        <f t="shared" si="14"/>
        <v>83.15</v>
      </c>
      <c r="I251" s="9"/>
    </row>
    <row r="252" spans="1:9" ht="18.75" customHeight="1">
      <c r="A252" s="3" t="str">
        <f>"10522018030113164582887"</f>
        <v>10522018030113164582887</v>
      </c>
      <c r="B252" s="25">
        <v>250</v>
      </c>
      <c r="C252" s="8" t="s">
        <v>15</v>
      </c>
      <c r="D252" s="12" t="str">
        <f t="shared" si="15"/>
        <v>助产</v>
      </c>
      <c r="E252" s="9" t="str">
        <f>"2018013515"</f>
        <v>2018013515</v>
      </c>
      <c r="F252" s="9">
        <v>51</v>
      </c>
      <c r="G252" s="9">
        <v>93</v>
      </c>
      <c r="H252" s="9">
        <f t="shared" si="14"/>
        <v>80.399999999999991</v>
      </c>
      <c r="I252" s="9"/>
    </row>
    <row r="253" spans="1:9" ht="18.75" customHeight="1">
      <c r="A253" s="3" t="str">
        <f>"10522018022610321481683"</f>
        <v>10522018022610321481683</v>
      </c>
      <c r="B253" s="25">
        <v>251</v>
      </c>
      <c r="C253" s="8" t="s">
        <v>15</v>
      </c>
      <c r="D253" s="12" t="str">
        <f t="shared" si="15"/>
        <v>助产</v>
      </c>
      <c r="E253" s="9" t="str">
        <f>"2018013504"</f>
        <v>2018013504</v>
      </c>
      <c r="F253" s="9">
        <v>50</v>
      </c>
      <c r="G253" s="9">
        <v>91</v>
      </c>
      <c r="H253" s="9">
        <f t="shared" si="14"/>
        <v>78.699999999999989</v>
      </c>
      <c r="I253" s="9"/>
    </row>
    <row r="254" spans="1:9" ht="18.75" customHeight="1">
      <c r="A254" s="3" t="str">
        <f>"10522018030112041582858"</f>
        <v>10522018030112041582858</v>
      </c>
      <c r="B254" s="25">
        <v>252</v>
      </c>
      <c r="C254" s="8" t="s">
        <v>15</v>
      </c>
      <c r="D254" s="12" t="str">
        <f t="shared" si="15"/>
        <v>助产</v>
      </c>
      <c r="E254" s="9" t="str">
        <f>"2018013516"</f>
        <v>2018013516</v>
      </c>
      <c r="F254" s="9">
        <v>31.5</v>
      </c>
      <c r="G254" s="9">
        <v>95</v>
      </c>
      <c r="H254" s="9">
        <f t="shared" si="14"/>
        <v>75.95</v>
      </c>
      <c r="I254" s="9"/>
    </row>
    <row r="255" spans="1:9" ht="18.75" customHeight="1">
      <c r="A255" s="3" t="str">
        <f>"10522018022711124082193"</f>
        <v>10522018022711124082193</v>
      </c>
      <c r="B255" s="25">
        <v>253</v>
      </c>
      <c r="C255" s="8" t="s">
        <v>15</v>
      </c>
      <c r="D255" s="12" t="str">
        <f t="shared" si="15"/>
        <v>助产</v>
      </c>
      <c r="E255" s="9" t="str">
        <f>"2018013413"</f>
        <v>2018013413</v>
      </c>
      <c r="F255" s="9">
        <v>45.5</v>
      </c>
      <c r="G255" s="9">
        <v>88</v>
      </c>
      <c r="H255" s="9">
        <f t="shared" si="14"/>
        <v>75.25</v>
      </c>
      <c r="I255" s="9"/>
    </row>
    <row r="256" spans="1:9" ht="18.75" customHeight="1">
      <c r="A256" s="3" t="str">
        <f>"10522018030119030783000"</f>
        <v>10522018030119030783000</v>
      </c>
      <c r="B256" s="25">
        <v>254</v>
      </c>
      <c r="C256" s="8" t="s">
        <v>15</v>
      </c>
      <c r="D256" s="12" t="str">
        <f t="shared" si="15"/>
        <v>助产</v>
      </c>
      <c r="E256" s="9" t="str">
        <f>"2018013512"</f>
        <v>2018013512</v>
      </c>
      <c r="F256" s="9">
        <v>44</v>
      </c>
      <c r="G256" s="9">
        <v>88.5</v>
      </c>
      <c r="H256" s="9">
        <f t="shared" si="14"/>
        <v>75.149999999999991</v>
      </c>
      <c r="I256" s="9"/>
    </row>
    <row r="257" spans="1:9" ht="18.75" customHeight="1">
      <c r="A257" s="3" t="str">
        <f>"10522018022609265581609"</f>
        <v>10522018022609265581609</v>
      </c>
      <c r="B257" s="25">
        <v>255</v>
      </c>
      <c r="C257" s="8" t="s">
        <v>15</v>
      </c>
      <c r="D257" s="12" t="str">
        <f t="shared" si="15"/>
        <v>助产</v>
      </c>
      <c r="E257" s="9" t="str">
        <f>"2018013503"</f>
        <v>2018013503</v>
      </c>
      <c r="F257" s="9">
        <v>37</v>
      </c>
      <c r="G257" s="9">
        <v>91</v>
      </c>
      <c r="H257" s="9">
        <f t="shared" si="14"/>
        <v>74.8</v>
      </c>
      <c r="I257" s="9"/>
    </row>
    <row r="258" spans="1:9" ht="18.75" customHeight="1">
      <c r="A258" s="3" t="str">
        <f>"10522018030112173482862"</f>
        <v>10522018030112173482862</v>
      </c>
      <c r="B258" s="25">
        <v>256</v>
      </c>
      <c r="C258" s="8" t="s">
        <v>15</v>
      </c>
      <c r="D258" s="12" t="str">
        <f t="shared" si="15"/>
        <v>助产</v>
      </c>
      <c r="E258" s="9" t="str">
        <f>"2018013407"</f>
        <v>2018013407</v>
      </c>
      <c r="F258" s="9">
        <v>48.5</v>
      </c>
      <c r="G258" s="9">
        <v>86</v>
      </c>
      <c r="H258" s="9">
        <f t="shared" si="14"/>
        <v>74.75</v>
      </c>
      <c r="I258" s="9"/>
    </row>
    <row r="259" spans="1:9" ht="18.75" customHeight="1">
      <c r="A259" s="3" t="str">
        <f>"10522018022612204281785"</f>
        <v>10522018022612204281785</v>
      </c>
      <c r="B259" s="25">
        <v>257</v>
      </c>
      <c r="C259" s="8" t="s">
        <v>15</v>
      </c>
      <c r="D259" s="12" t="str">
        <f t="shared" si="15"/>
        <v>助产</v>
      </c>
      <c r="E259" s="9" t="str">
        <f>"2018013426"</f>
        <v>2018013426</v>
      </c>
      <c r="F259" s="9">
        <v>61</v>
      </c>
      <c r="G259" s="9">
        <v>80</v>
      </c>
      <c r="H259" s="9">
        <f t="shared" si="14"/>
        <v>74.3</v>
      </c>
      <c r="I259" s="9"/>
    </row>
    <row r="260" spans="1:9" ht="18.75" customHeight="1">
      <c r="A260" s="3" t="str">
        <f>"10522018022617274981985"</f>
        <v>10522018022617274981985</v>
      </c>
      <c r="B260" s="25">
        <v>258</v>
      </c>
      <c r="C260" s="8" t="s">
        <v>15</v>
      </c>
      <c r="D260" s="12" t="str">
        <f t="shared" si="15"/>
        <v>助产</v>
      </c>
      <c r="E260" s="9" t="str">
        <f>"2018013329"</f>
        <v>2018013329</v>
      </c>
      <c r="F260" s="9">
        <v>42</v>
      </c>
      <c r="G260" s="9">
        <v>88</v>
      </c>
      <c r="H260" s="9">
        <f t="shared" si="14"/>
        <v>74.199999999999989</v>
      </c>
      <c r="I260" s="9"/>
    </row>
    <row r="261" spans="1:9" ht="18.75" customHeight="1">
      <c r="A261" s="3" t="str">
        <f>"10522018022823172882773"</f>
        <v>10522018022823172882773</v>
      </c>
      <c r="B261" s="25">
        <v>259</v>
      </c>
      <c r="C261" s="8" t="s">
        <v>15</v>
      </c>
      <c r="D261" s="12" t="str">
        <f t="shared" si="15"/>
        <v>助产</v>
      </c>
      <c r="E261" s="9" t="str">
        <f>"2018013519"</f>
        <v>2018013519</v>
      </c>
      <c r="F261" s="9">
        <v>39.5</v>
      </c>
      <c r="G261" s="9">
        <v>88</v>
      </c>
      <c r="H261" s="9">
        <f t="shared" si="14"/>
        <v>73.449999999999989</v>
      </c>
      <c r="I261" s="9"/>
    </row>
    <row r="262" spans="1:9" ht="18.75" customHeight="1">
      <c r="A262" s="3" t="str">
        <f>"10522018022614171481876"</f>
        <v>10522018022614171481876</v>
      </c>
      <c r="B262" s="25">
        <v>260</v>
      </c>
      <c r="C262" s="8" t="s">
        <v>15</v>
      </c>
      <c r="D262" s="12" t="str">
        <f t="shared" si="15"/>
        <v>助产</v>
      </c>
      <c r="E262" s="9" t="str">
        <f>"2018013316"</f>
        <v>2018013316</v>
      </c>
      <c r="F262" s="9">
        <v>53</v>
      </c>
      <c r="G262" s="9">
        <v>81</v>
      </c>
      <c r="H262" s="9">
        <f t="shared" si="14"/>
        <v>72.599999999999994</v>
      </c>
      <c r="I262" s="9"/>
    </row>
    <row r="263" spans="1:9" ht="18.75" customHeight="1">
      <c r="A263" s="3" t="str">
        <f>"10522018022616195881950"</f>
        <v>10522018022616195881950</v>
      </c>
      <c r="B263" s="25">
        <v>261</v>
      </c>
      <c r="C263" s="8" t="s">
        <v>15</v>
      </c>
      <c r="D263" s="12" t="str">
        <f t="shared" si="15"/>
        <v>助产</v>
      </c>
      <c r="E263" s="9" t="str">
        <f>"2018013511"</f>
        <v>2018013511</v>
      </c>
      <c r="F263" s="9">
        <v>53</v>
      </c>
      <c r="G263" s="9">
        <v>81</v>
      </c>
      <c r="H263" s="9">
        <f t="shared" si="14"/>
        <v>72.599999999999994</v>
      </c>
      <c r="I263" s="9"/>
    </row>
    <row r="264" spans="1:9" ht="18.75" customHeight="1">
      <c r="A264" s="3" t="str">
        <f>"10522018022718110682324"</f>
        <v>10522018022718110682324</v>
      </c>
      <c r="B264" s="25">
        <v>262</v>
      </c>
      <c r="C264" s="8" t="s">
        <v>15</v>
      </c>
      <c r="D264" s="12" t="str">
        <f t="shared" si="15"/>
        <v>助产</v>
      </c>
      <c r="E264" s="9" t="str">
        <f>"2018013313"</f>
        <v>2018013313</v>
      </c>
      <c r="F264" s="9">
        <v>54.5</v>
      </c>
      <c r="G264" s="9">
        <v>79.5</v>
      </c>
      <c r="H264" s="9">
        <f t="shared" si="14"/>
        <v>72</v>
      </c>
      <c r="I264" s="9"/>
    </row>
    <row r="265" spans="1:9" ht="18.75" customHeight="1">
      <c r="A265" s="3" t="str">
        <f>"10522018022611445181768"</f>
        <v>10522018022611445181768</v>
      </c>
      <c r="B265" s="25">
        <v>263</v>
      </c>
      <c r="C265" s="8" t="s">
        <v>15</v>
      </c>
      <c r="D265" s="12" t="str">
        <f t="shared" si="15"/>
        <v>助产</v>
      </c>
      <c r="E265" s="9" t="str">
        <f>"2018013411"</f>
        <v>2018013411</v>
      </c>
      <c r="F265" s="9">
        <v>41.5</v>
      </c>
      <c r="G265" s="9">
        <v>85</v>
      </c>
      <c r="H265" s="9">
        <f t="shared" si="14"/>
        <v>71.949999999999989</v>
      </c>
      <c r="I265" s="9"/>
    </row>
    <row r="266" spans="1:9" ht="18.75" customHeight="1">
      <c r="A266" s="3" t="str">
        <f>"10522018022710425082183"</f>
        <v>10522018022710425082183</v>
      </c>
      <c r="B266" s="25">
        <v>264</v>
      </c>
      <c r="C266" s="8" t="s">
        <v>15</v>
      </c>
      <c r="D266" s="12" t="str">
        <f>"助产专业"</f>
        <v>助产专业</v>
      </c>
      <c r="E266" s="9" t="str">
        <f>"2018013420"</f>
        <v>2018013420</v>
      </c>
      <c r="F266" s="9">
        <v>56</v>
      </c>
      <c r="G266" s="9">
        <v>78</v>
      </c>
      <c r="H266" s="9">
        <f t="shared" si="14"/>
        <v>71.399999999999991</v>
      </c>
      <c r="I266" s="9"/>
    </row>
    <row r="267" spans="1:9" ht="18.75" customHeight="1">
      <c r="A267" s="3" t="str">
        <f>"10522018022812504282569"</f>
        <v>10522018022812504282569</v>
      </c>
      <c r="B267" s="25">
        <v>265</v>
      </c>
      <c r="C267" s="8" t="s">
        <v>15</v>
      </c>
      <c r="D267" s="12" t="str">
        <f>"助产"</f>
        <v>助产</v>
      </c>
      <c r="E267" s="9" t="str">
        <f>"2018013417"</f>
        <v>2018013417</v>
      </c>
      <c r="F267" s="9">
        <v>61</v>
      </c>
      <c r="G267" s="9">
        <v>75</v>
      </c>
      <c r="H267" s="9">
        <f t="shared" si="14"/>
        <v>70.8</v>
      </c>
      <c r="I267" s="9"/>
    </row>
    <row r="268" spans="1:9" ht="18.75" customHeight="1">
      <c r="A268" s="3" t="str">
        <f>"10522018022707575382122"</f>
        <v>10522018022707575382122</v>
      </c>
      <c r="B268" s="25">
        <v>266</v>
      </c>
      <c r="C268" s="8" t="s">
        <v>15</v>
      </c>
      <c r="D268" s="12" t="str">
        <f>"助产"</f>
        <v>助产</v>
      </c>
      <c r="E268" s="9" t="str">
        <f>"2018013318"</f>
        <v>2018013318</v>
      </c>
      <c r="F268" s="9">
        <v>41.5</v>
      </c>
      <c r="G268" s="9">
        <v>83</v>
      </c>
      <c r="H268" s="9">
        <f t="shared" si="14"/>
        <v>70.55</v>
      </c>
      <c r="I268" s="9"/>
    </row>
    <row r="269" spans="1:9" ht="18.75" customHeight="1">
      <c r="A269" s="3" t="str">
        <f>"10522018022715365582285"</f>
        <v>10522018022715365582285</v>
      </c>
      <c r="B269" s="25">
        <v>267</v>
      </c>
      <c r="C269" s="8" t="s">
        <v>15</v>
      </c>
      <c r="D269" s="12" t="str">
        <f>"助产"</f>
        <v>助产</v>
      </c>
      <c r="E269" s="9" t="str">
        <f>"2018013506"</f>
        <v>2018013506</v>
      </c>
      <c r="F269" s="9">
        <v>47</v>
      </c>
      <c r="G269" s="9">
        <v>80</v>
      </c>
      <c r="H269" s="9">
        <f t="shared" si="14"/>
        <v>70.099999999999994</v>
      </c>
      <c r="I269" s="9"/>
    </row>
    <row r="270" spans="1:9" ht="18.75" customHeight="1">
      <c r="A270" s="3" t="str">
        <f>"10522018030120412583021"</f>
        <v>10522018030120412583021</v>
      </c>
      <c r="B270" s="25">
        <v>268</v>
      </c>
      <c r="C270" s="8" t="s">
        <v>15</v>
      </c>
      <c r="D270" s="12" t="str">
        <f>"助产"</f>
        <v>助产</v>
      </c>
      <c r="E270" s="9" t="str">
        <f>"2018013509"</f>
        <v>2018013509</v>
      </c>
      <c r="F270" s="9">
        <v>47</v>
      </c>
      <c r="G270" s="9">
        <v>80</v>
      </c>
      <c r="H270" s="9">
        <f t="shared" si="14"/>
        <v>70.099999999999994</v>
      </c>
      <c r="I270" s="9"/>
    </row>
    <row r="271" spans="1:9" s="23" customFormat="1" ht="18.75" customHeight="1">
      <c r="A271" s="22"/>
      <c r="B271" s="25">
        <v>269</v>
      </c>
      <c r="C271" s="32" t="s">
        <v>57</v>
      </c>
      <c r="D271" s="34" t="s">
        <v>55</v>
      </c>
      <c r="E271" s="33" t="s">
        <v>56</v>
      </c>
      <c r="F271" s="33">
        <v>43.5</v>
      </c>
      <c r="G271" s="33">
        <v>81</v>
      </c>
      <c r="H271" s="33">
        <v>69.75</v>
      </c>
      <c r="I271" s="24"/>
    </row>
    <row r="272" spans="1:9" ht="18.75" customHeight="1">
      <c r="A272" s="3" t="str">
        <f>"10522018030112190082863"</f>
        <v>10522018030112190082863</v>
      </c>
      <c r="B272" s="25">
        <v>270</v>
      </c>
      <c r="C272" s="8" t="s">
        <v>16</v>
      </c>
      <c r="D272" s="12" t="str">
        <f>"预防医学"</f>
        <v>预防医学</v>
      </c>
      <c r="E272" s="9" t="str">
        <f>"2018014020"</f>
        <v>2018014020</v>
      </c>
      <c r="F272" s="9">
        <v>71</v>
      </c>
      <c r="G272" s="9">
        <v>75</v>
      </c>
      <c r="H272" s="9">
        <f t="shared" si="14"/>
        <v>73.8</v>
      </c>
      <c r="I272" s="9"/>
    </row>
    <row r="273" spans="1:9" ht="18.75" customHeight="1">
      <c r="A273" s="3" t="str">
        <f>"10522018030122134483042"</f>
        <v>10522018030122134483042</v>
      </c>
      <c r="B273" s="25">
        <v>271</v>
      </c>
      <c r="C273" s="8" t="s">
        <v>17</v>
      </c>
      <c r="D273" s="12" t="str">
        <f>"预防医学"</f>
        <v>预防医学</v>
      </c>
      <c r="E273" s="9" t="str">
        <f>"2018014023"</f>
        <v>2018014023</v>
      </c>
      <c r="F273" s="9">
        <v>73</v>
      </c>
      <c r="G273" s="9">
        <v>101</v>
      </c>
      <c r="H273" s="9">
        <f t="shared" si="14"/>
        <v>92.6</v>
      </c>
      <c r="I273" s="9"/>
    </row>
    <row r="274" spans="1:9" ht="18.75" customHeight="1">
      <c r="A274" s="3" t="str">
        <f>"10522018022620253682057"</f>
        <v>10522018022620253682057</v>
      </c>
      <c r="B274" s="25">
        <v>272</v>
      </c>
      <c r="C274" s="8" t="s">
        <v>17</v>
      </c>
      <c r="D274" s="12" t="str">
        <f>"预防医学专业"</f>
        <v>预防医学专业</v>
      </c>
      <c r="E274" s="9" t="str">
        <f>"2018014024"</f>
        <v>2018014024</v>
      </c>
      <c r="F274" s="9">
        <v>63</v>
      </c>
      <c r="G274" s="9">
        <v>91.5</v>
      </c>
      <c r="H274" s="9">
        <f t="shared" si="14"/>
        <v>82.949999999999989</v>
      </c>
      <c r="I274" s="9"/>
    </row>
    <row r="275" spans="1:9" ht="18.75" customHeight="1">
      <c r="A275" s="3" t="str">
        <f>"10522018022709532482157"</f>
        <v>10522018022709532482157</v>
      </c>
      <c r="B275" s="25">
        <v>273</v>
      </c>
      <c r="C275" s="8" t="s">
        <v>17</v>
      </c>
      <c r="D275" s="12" t="str">
        <f>"预防医学"</f>
        <v>预防医学</v>
      </c>
      <c r="E275" s="9" t="str">
        <f>"2018014022"</f>
        <v>2018014022</v>
      </c>
      <c r="F275" s="9">
        <v>55</v>
      </c>
      <c r="G275" s="9">
        <v>84.5</v>
      </c>
      <c r="H275" s="9">
        <f t="shared" si="14"/>
        <v>75.650000000000006</v>
      </c>
      <c r="I275" s="9"/>
    </row>
    <row r="276" spans="1:9" ht="18.75" customHeight="1">
      <c r="A276" s="3" t="str">
        <f>"10522018022813025882578"</f>
        <v>10522018022813025882578</v>
      </c>
      <c r="B276" s="25">
        <v>274</v>
      </c>
      <c r="C276" s="8" t="s">
        <v>18</v>
      </c>
      <c r="D276" s="12" t="str">
        <f>"统计学"</f>
        <v>统计学</v>
      </c>
      <c r="E276" s="9" t="str">
        <f>"2018014104"</f>
        <v>2018014104</v>
      </c>
      <c r="F276" s="9">
        <v>47.5</v>
      </c>
      <c r="G276" s="9">
        <v>75</v>
      </c>
      <c r="H276" s="9">
        <f t="shared" si="14"/>
        <v>66.75</v>
      </c>
      <c r="I276" s="9"/>
    </row>
    <row r="277" spans="1:9" ht="18.75" customHeight="1">
      <c r="A277" s="3" t="str">
        <f>"10522018030107413382780"</f>
        <v>10522018030107413382780</v>
      </c>
      <c r="B277" s="25">
        <v>275</v>
      </c>
      <c r="C277" s="8" t="s">
        <v>18</v>
      </c>
      <c r="D277" s="12" t="str">
        <f>"统计学"</f>
        <v>统计学</v>
      </c>
      <c r="E277" s="9" t="str">
        <f>"2018014103"</f>
        <v>2018014103</v>
      </c>
      <c r="F277" s="9">
        <v>57</v>
      </c>
      <c r="G277" s="9">
        <v>70</v>
      </c>
      <c r="H277" s="9">
        <f t="shared" si="14"/>
        <v>66.099999999999994</v>
      </c>
      <c r="I277" s="9"/>
    </row>
    <row r="278" spans="1:9" ht="18.75" customHeight="1">
      <c r="A278" s="3" t="str">
        <f>"10522018022719090082356"</f>
        <v>10522018022719090082356</v>
      </c>
      <c r="B278" s="25">
        <v>276</v>
      </c>
      <c r="C278" s="8" t="s">
        <v>19</v>
      </c>
      <c r="D278" s="12" t="str">
        <f>"中医学"</f>
        <v>中医学</v>
      </c>
      <c r="E278" s="9" t="str">
        <f>"2018014114"</f>
        <v>2018014114</v>
      </c>
      <c r="F278" s="9">
        <v>56</v>
      </c>
      <c r="G278" s="9">
        <v>95</v>
      </c>
      <c r="H278" s="9">
        <f t="shared" si="14"/>
        <v>83.3</v>
      </c>
      <c r="I278" s="9"/>
    </row>
    <row r="279" spans="1:9" ht="18.75" customHeight="1">
      <c r="A279" s="3" t="str">
        <f>"10522018030109432882810"</f>
        <v>10522018030109432882810</v>
      </c>
      <c r="B279" s="25">
        <v>277</v>
      </c>
      <c r="C279" s="8" t="s">
        <v>19</v>
      </c>
      <c r="D279" s="12" t="str">
        <f>"中医学"</f>
        <v>中医学</v>
      </c>
      <c r="E279" s="9" t="str">
        <f>"2018014109"</f>
        <v>2018014109</v>
      </c>
      <c r="F279" s="9">
        <v>52.5</v>
      </c>
      <c r="G279" s="9">
        <v>93</v>
      </c>
      <c r="H279" s="9">
        <f t="shared" si="14"/>
        <v>80.849999999999994</v>
      </c>
      <c r="I279" s="9"/>
    </row>
    <row r="280" spans="1:9" ht="18.75" customHeight="1">
      <c r="A280" s="3" t="str">
        <f>"10522018022609113281586"</f>
        <v>10522018022609113281586</v>
      </c>
      <c r="B280" s="25">
        <v>278</v>
      </c>
      <c r="C280" s="8" t="s">
        <v>19</v>
      </c>
      <c r="D280" s="12" t="str">
        <f>"中医学"</f>
        <v>中医学</v>
      </c>
      <c r="E280" s="9" t="str">
        <f>"2018014113"</f>
        <v>2018014113</v>
      </c>
      <c r="F280" s="9">
        <v>52.5</v>
      </c>
      <c r="G280" s="9">
        <v>79</v>
      </c>
      <c r="H280" s="9">
        <f t="shared" si="14"/>
        <v>71.05</v>
      </c>
      <c r="I280" s="9"/>
    </row>
    <row r="281" spans="1:9" ht="18.75" customHeight="1">
      <c r="A281" s="3" t="str">
        <f>"10522018022813311182591"</f>
        <v>10522018022813311182591</v>
      </c>
      <c r="B281" s="25">
        <v>279</v>
      </c>
      <c r="C281" s="8" t="s">
        <v>20</v>
      </c>
      <c r="D281" s="12" t="str">
        <f>"临床医学"</f>
        <v>临床医学</v>
      </c>
      <c r="E281" s="9" t="str">
        <f>"2018013614"</f>
        <v>2018013614</v>
      </c>
      <c r="F281" s="9">
        <v>50</v>
      </c>
      <c r="G281" s="9">
        <v>83</v>
      </c>
      <c r="H281" s="9">
        <f t="shared" si="14"/>
        <v>73.099999999999994</v>
      </c>
      <c r="I281" s="9"/>
    </row>
    <row r="282" spans="1:9" ht="18.75" customHeight="1">
      <c r="A282" s="3" t="str">
        <f>"10522018030214065583152"</f>
        <v>10522018030214065583152</v>
      </c>
      <c r="B282" s="25">
        <v>280</v>
      </c>
      <c r="C282" s="8" t="s">
        <v>20</v>
      </c>
      <c r="D282" s="12" t="str">
        <f>"临床医学"</f>
        <v>临床医学</v>
      </c>
      <c r="E282" s="9" t="str">
        <f>"2018013618"</f>
        <v>2018013618</v>
      </c>
      <c r="F282" s="9">
        <v>41</v>
      </c>
      <c r="G282" s="9">
        <v>72</v>
      </c>
      <c r="H282" s="9">
        <f t="shared" si="14"/>
        <v>62.699999999999996</v>
      </c>
      <c r="I282" s="9"/>
    </row>
    <row r="283" spans="1:9" ht="18.75" customHeight="1">
      <c r="A283" s="3" t="str">
        <f>"10522018022620352482066"</f>
        <v>10522018022620352482066</v>
      </c>
      <c r="B283" s="25">
        <v>281</v>
      </c>
      <c r="C283" s="8" t="s">
        <v>21</v>
      </c>
      <c r="D283" s="12" t="str">
        <f>"麻醉学"</f>
        <v>麻醉学</v>
      </c>
      <c r="E283" s="9" t="str">
        <f>"2018013626"</f>
        <v>2018013626</v>
      </c>
      <c r="F283" s="9">
        <v>51.5</v>
      </c>
      <c r="G283" s="9">
        <v>83</v>
      </c>
      <c r="H283" s="9">
        <f t="shared" si="14"/>
        <v>73.55</v>
      </c>
      <c r="I283" s="9"/>
    </row>
    <row r="284" spans="1:9" ht="18.75" customHeight="1">
      <c r="A284" s="3" t="str">
        <f>"10522018022610422481701"</f>
        <v>10522018022610422481701</v>
      </c>
      <c r="B284" s="25">
        <v>282</v>
      </c>
      <c r="C284" s="8" t="s">
        <v>22</v>
      </c>
      <c r="D284" s="12" t="str">
        <f>"口腔医学"</f>
        <v>口腔医学</v>
      </c>
      <c r="E284" s="9" t="str">
        <f>"2018013712"</f>
        <v>2018013712</v>
      </c>
      <c r="F284" s="9">
        <v>46</v>
      </c>
      <c r="G284" s="9">
        <v>88</v>
      </c>
      <c r="H284" s="9">
        <f t="shared" si="14"/>
        <v>75.399999999999991</v>
      </c>
      <c r="I284" s="9"/>
    </row>
    <row r="285" spans="1:9" ht="18.75" customHeight="1">
      <c r="A285" s="3" t="str">
        <f>"10522018022609112781585"</f>
        <v>10522018022609112781585</v>
      </c>
      <c r="B285" s="25">
        <v>283</v>
      </c>
      <c r="C285" s="8" t="s">
        <v>22</v>
      </c>
      <c r="D285" s="12" t="str">
        <f>"口腔医学"</f>
        <v>口腔医学</v>
      </c>
      <c r="E285" s="9" t="str">
        <f>"2018013710"</f>
        <v>2018013710</v>
      </c>
      <c r="F285" s="9">
        <v>60</v>
      </c>
      <c r="G285" s="9">
        <v>71</v>
      </c>
      <c r="H285" s="9">
        <f t="shared" si="14"/>
        <v>67.699999999999989</v>
      </c>
      <c r="I285" s="9"/>
    </row>
    <row r="286" spans="1:9" ht="18.75" customHeight="1">
      <c r="A286" s="3" t="str">
        <f>"10522018022719330882369"</f>
        <v>10522018022719330882369</v>
      </c>
      <c r="B286" s="25">
        <v>284</v>
      </c>
      <c r="C286" s="8" t="s">
        <v>23</v>
      </c>
      <c r="D286" s="12" t="str">
        <f>"医学检验技术"</f>
        <v>医学检验技术</v>
      </c>
      <c r="E286" s="9" t="str">
        <f>"2018010429"</f>
        <v>2018010429</v>
      </c>
      <c r="F286" s="9">
        <v>53</v>
      </c>
      <c r="G286" s="9">
        <v>101</v>
      </c>
      <c r="H286" s="9">
        <f t="shared" si="14"/>
        <v>86.6</v>
      </c>
      <c r="I286" s="9"/>
    </row>
    <row r="287" spans="1:9" ht="18.75" customHeight="1">
      <c r="A287" s="3" t="str">
        <f>"10522018022717382682317"</f>
        <v>10522018022717382682317</v>
      </c>
      <c r="B287" s="25">
        <v>285</v>
      </c>
      <c r="C287" s="8" t="s">
        <v>23</v>
      </c>
      <c r="D287" s="12" t="str">
        <f>"医学检验"</f>
        <v>医学检验</v>
      </c>
      <c r="E287" s="9" t="str">
        <f>"2018013909"</f>
        <v>2018013909</v>
      </c>
      <c r="F287" s="9">
        <v>63</v>
      </c>
      <c r="G287" s="9">
        <v>88</v>
      </c>
      <c r="H287" s="9">
        <f t="shared" si="14"/>
        <v>80.5</v>
      </c>
      <c r="I287" s="9"/>
    </row>
    <row r="288" spans="1:9" ht="18.75" customHeight="1">
      <c r="A288" s="3" t="str">
        <f>"10522018022613293981846"</f>
        <v>10522018022613293981846</v>
      </c>
      <c r="B288" s="25">
        <v>286</v>
      </c>
      <c r="C288" s="8" t="s">
        <v>23</v>
      </c>
      <c r="D288" s="12" t="str">
        <f>"医学检验技术"</f>
        <v>医学检验技术</v>
      </c>
      <c r="E288" s="9" t="str">
        <f>"2018013908"</f>
        <v>2018013908</v>
      </c>
      <c r="F288" s="9">
        <v>52</v>
      </c>
      <c r="G288" s="9">
        <v>90</v>
      </c>
      <c r="H288" s="9">
        <f t="shared" si="14"/>
        <v>78.599999999999994</v>
      </c>
      <c r="I288" s="9"/>
    </row>
    <row r="289" spans="1:9" ht="18.75" customHeight="1">
      <c r="A289" s="3" t="str">
        <f>"10522018022714573782271"</f>
        <v>10522018022714573782271</v>
      </c>
      <c r="B289" s="25">
        <v>287</v>
      </c>
      <c r="C289" s="8" t="s">
        <v>23</v>
      </c>
      <c r="D289" s="12" t="str">
        <f>"医学检验技术"</f>
        <v>医学检验技术</v>
      </c>
      <c r="E289" s="9" t="str">
        <f>"2018013907"</f>
        <v>2018013907</v>
      </c>
      <c r="F289" s="9">
        <v>67.5</v>
      </c>
      <c r="G289" s="9">
        <v>83</v>
      </c>
      <c r="H289" s="9">
        <f t="shared" si="14"/>
        <v>78.349999999999994</v>
      </c>
      <c r="I289" s="9"/>
    </row>
    <row r="290" spans="1:9" ht="18.75" customHeight="1">
      <c r="A290" s="3" t="str">
        <f>"10522018022609015981558"</f>
        <v>10522018022609015981558</v>
      </c>
      <c r="B290" s="25">
        <v>288</v>
      </c>
      <c r="C290" s="8" t="s">
        <v>23</v>
      </c>
      <c r="D290" s="12" t="str">
        <f>"医学检验"</f>
        <v>医学检验</v>
      </c>
      <c r="E290" s="9" t="str">
        <f>"2018013906"</f>
        <v>2018013906</v>
      </c>
      <c r="F290" s="9">
        <v>37</v>
      </c>
      <c r="G290" s="9">
        <v>93</v>
      </c>
      <c r="H290" s="9">
        <f t="shared" si="14"/>
        <v>76.199999999999989</v>
      </c>
      <c r="I290" s="9"/>
    </row>
    <row r="291" spans="1:9" ht="18.75" customHeight="1">
      <c r="A291" s="3" t="str">
        <f>"10522018022618392282017"</f>
        <v>10522018022618392282017</v>
      </c>
      <c r="B291" s="25">
        <v>289</v>
      </c>
      <c r="C291" s="8" t="s">
        <v>23</v>
      </c>
      <c r="D291" s="12" t="str">
        <f>"医学检验技术"</f>
        <v>医学检验技术</v>
      </c>
      <c r="E291" s="9" t="str">
        <f>"2018013911"</f>
        <v>2018013911</v>
      </c>
      <c r="F291" s="9">
        <v>55.5</v>
      </c>
      <c r="G291" s="9">
        <v>73</v>
      </c>
      <c r="H291" s="9">
        <f t="shared" si="14"/>
        <v>67.75</v>
      </c>
      <c r="I291" s="9"/>
    </row>
    <row r="292" spans="1:9" ht="18.75" customHeight="1">
      <c r="A292" s="3" t="str">
        <f>"10522018030209344383089"</f>
        <v>10522018030209344383089</v>
      </c>
      <c r="B292" s="25">
        <v>290</v>
      </c>
      <c r="C292" s="8" t="s">
        <v>24</v>
      </c>
      <c r="D292" s="12" t="str">
        <f t="shared" ref="D292:D297" si="16">"中药学"</f>
        <v>中药学</v>
      </c>
      <c r="E292" s="9" t="str">
        <f>"2018013929"</f>
        <v>2018013929</v>
      </c>
      <c r="F292" s="9">
        <v>52</v>
      </c>
      <c r="G292" s="9">
        <v>88</v>
      </c>
      <c r="H292" s="9">
        <f t="shared" si="14"/>
        <v>77.199999999999989</v>
      </c>
      <c r="I292" s="9"/>
    </row>
    <row r="293" spans="1:9" ht="18.75" customHeight="1">
      <c r="A293" s="3" t="str">
        <f>"10522018022821304682748"</f>
        <v>10522018022821304682748</v>
      </c>
      <c r="B293" s="25">
        <v>291</v>
      </c>
      <c r="C293" s="8" t="s">
        <v>24</v>
      </c>
      <c r="D293" s="12" t="str">
        <f t="shared" si="16"/>
        <v>中药学</v>
      </c>
      <c r="E293" s="9" t="str">
        <f>"2018013928"</f>
        <v>2018013928</v>
      </c>
      <c r="F293" s="9">
        <v>68</v>
      </c>
      <c r="G293" s="9">
        <v>74</v>
      </c>
      <c r="H293" s="9">
        <f t="shared" si="14"/>
        <v>72.199999999999989</v>
      </c>
      <c r="I293" s="9"/>
    </row>
    <row r="294" spans="1:9" ht="18.75" customHeight="1">
      <c r="A294" s="3" t="str">
        <f>"10522018022618392382016"</f>
        <v>10522018022618392382016</v>
      </c>
      <c r="B294" s="25">
        <v>292</v>
      </c>
      <c r="C294" s="8" t="s">
        <v>24</v>
      </c>
      <c r="D294" s="12" t="str">
        <f t="shared" si="16"/>
        <v>中药学</v>
      </c>
      <c r="E294" s="9" t="str">
        <f>"2018013927"</f>
        <v>2018013927</v>
      </c>
      <c r="F294" s="9">
        <v>71</v>
      </c>
      <c r="G294" s="9">
        <v>70</v>
      </c>
      <c r="H294" s="9">
        <f t="shared" si="14"/>
        <v>70.3</v>
      </c>
      <c r="I294" s="9"/>
    </row>
    <row r="295" spans="1:9" ht="18.75" customHeight="1">
      <c r="A295" s="3" t="str">
        <f>"10522018022617541381998"</f>
        <v>10522018022617541381998</v>
      </c>
      <c r="B295" s="25">
        <v>293</v>
      </c>
      <c r="C295" s="8" t="s">
        <v>24</v>
      </c>
      <c r="D295" s="12" t="str">
        <f t="shared" si="16"/>
        <v>中药学</v>
      </c>
      <c r="E295" s="9" t="str">
        <f>"2018013924"</f>
        <v>2018013924</v>
      </c>
      <c r="F295" s="9">
        <v>46.5</v>
      </c>
      <c r="G295" s="9">
        <v>80</v>
      </c>
      <c r="H295" s="9">
        <f t="shared" si="14"/>
        <v>69.95</v>
      </c>
      <c r="I295" s="9"/>
    </row>
    <row r="296" spans="1:9" ht="18.75" customHeight="1">
      <c r="A296" s="3" t="str">
        <f>"10522018022813322782593"</f>
        <v>10522018022813322782593</v>
      </c>
      <c r="B296" s="25">
        <v>294</v>
      </c>
      <c r="C296" s="8" t="s">
        <v>24</v>
      </c>
      <c r="D296" s="12" t="str">
        <f t="shared" si="16"/>
        <v>中药学</v>
      </c>
      <c r="E296" s="9" t="str">
        <f>"2018013926"</f>
        <v>2018013926</v>
      </c>
      <c r="F296" s="9">
        <v>45</v>
      </c>
      <c r="G296" s="9">
        <v>78</v>
      </c>
      <c r="H296" s="9">
        <f t="shared" si="14"/>
        <v>68.099999999999994</v>
      </c>
      <c r="I296" s="9"/>
    </row>
    <row r="297" spans="1:9" ht="18.75" customHeight="1">
      <c r="A297" s="3" t="str">
        <f>"10522018022614413181891"</f>
        <v>10522018022614413181891</v>
      </c>
      <c r="B297" s="25">
        <v>295</v>
      </c>
      <c r="C297" s="8" t="s">
        <v>24</v>
      </c>
      <c r="D297" s="12" t="str">
        <f t="shared" si="16"/>
        <v>中药学</v>
      </c>
      <c r="E297" s="9" t="str">
        <f>"2018013923"</f>
        <v>2018013923</v>
      </c>
      <c r="F297" s="9">
        <v>63.5</v>
      </c>
      <c r="G297" s="9">
        <v>69</v>
      </c>
      <c r="H297" s="9">
        <f t="shared" si="14"/>
        <v>67.349999999999994</v>
      </c>
      <c r="I297" s="9"/>
    </row>
    <row r="298" spans="1:9" ht="18.75" customHeight="1">
      <c r="A298" s="3" t="str">
        <f>"10522018022613520881860"</f>
        <v>10522018022613520881860</v>
      </c>
      <c r="B298" s="25">
        <v>296</v>
      </c>
      <c r="C298" s="8" t="s">
        <v>25</v>
      </c>
      <c r="D298" s="12" t="str">
        <f t="shared" ref="D298:D328" si="17">"护理"</f>
        <v>护理</v>
      </c>
      <c r="E298" s="9" t="str">
        <f>"2018012618"</f>
        <v>2018012618</v>
      </c>
      <c r="F298" s="9">
        <v>53</v>
      </c>
      <c r="G298" s="9">
        <v>104</v>
      </c>
      <c r="H298" s="9">
        <f t="shared" si="14"/>
        <v>88.699999999999989</v>
      </c>
      <c r="I298" s="9"/>
    </row>
    <row r="299" spans="1:9" ht="18.75" customHeight="1">
      <c r="A299" s="3" t="str">
        <f>"10522018022612270181792"</f>
        <v>10522018022612270181792</v>
      </c>
      <c r="B299" s="25">
        <v>297</v>
      </c>
      <c r="C299" s="8" t="s">
        <v>25</v>
      </c>
      <c r="D299" s="12" t="str">
        <f t="shared" si="17"/>
        <v>护理</v>
      </c>
      <c r="E299" s="9" t="str">
        <f>"2018012925"</f>
        <v>2018012925</v>
      </c>
      <c r="F299" s="9">
        <v>57.5</v>
      </c>
      <c r="G299" s="9">
        <v>102</v>
      </c>
      <c r="H299" s="9">
        <f t="shared" si="14"/>
        <v>88.649999999999991</v>
      </c>
      <c r="I299" s="9"/>
    </row>
    <row r="300" spans="1:9" ht="18.75" customHeight="1">
      <c r="A300" s="3" t="str">
        <f>"10522018022819392382715"</f>
        <v>10522018022819392382715</v>
      </c>
      <c r="B300" s="25">
        <v>298</v>
      </c>
      <c r="C300" s="8" t="s">
        <v>25</v>
      </c>
      <c r="D300" s="12" t="str">
        <f t="shared" si="17"/>
        <v>护理</v>
      </c>
      <c r="E300" s="9" t="str">
        <f>"2018012622"</f>
        <v>2018012622</v>
      </c>
      <c r="F300" s="9">
        <v>60</v>
      </c>
      <c r="G300" s="9">
        <v>100</v>
      </c>
      <c r="H300" s="9">
        <f t="shared" si="14"/>
        <v>88</v>
      </c>
      <c r="I300" s="9"/>
    </row>
    <row r="301" spans="1:9" ht="18.75" customHeight="1">
      <c r="A301" s="3" t="str">
        <f>"10522018022821232882744"</f>
        <v>10522018022821232882744</v>
      </c>
      <c r="B301" s="25">
        <v>299</v>
      </c>
      <c r="C301" s="8" t="s">
        <v>25</v>
      </c>
      <c r="D301" s="12" t="str">
        <f t="shared" si="17"/>
        <v>护理</v>
      </c>
      <c r="E301" s="9" t="str">
        <f>"2018013014"</f>
        <v>2018013014</v>
      </c>
      <c r="F301" s="9">
        <v>53</v>
      </c>
      <c r="G301" s="9">
        <v>102</v>
      </c>
      <c r="H301" s="9">
        <f t="shared" si="14"/>
        <v>87.299999999999983</v>
      </c>
      <c r="I301" s="9"/>
    </row>
    <row r="302" spans="1:9" ht="18.75" customHeight="1">
      <c r="A302" s="3" t="str">
        <f>"10522018030121442983035"</f>
        <v>10522018030121442983035</v>
      </c>
      <c r="B302" s="25">
        <v>300</v>
      </c>
      <c r="C302" s="8" t="s">
        <v>25</v>
      </c>
      <c r="D302" s="12" t="str">
        <f t="shared" si="17"/>
        <v>护理</v>
      </c>
      <c r="E302" s="9" t="str">
        <f>"2018012611"</f>
        <v>2018012611</v>
      </c>
      <c r="F302" s="9">
        <v>59.5</v>
      </c>
      <c r="G302" s="9">
        <v>99</v>
      </c>
      <c r="H302" s="9">
        <f t="shared" si="14"/>
        <v>87.149999999999991</v>
      </c>
      <c r="I302" s="9"/>
    </row>
    <row r="303" spans="1:9" ht="18.75" customHeight="1">
      <c r="A303" s="3" t="str">
        <f>"10522018030109031782800"</f>
        <v>10522018030109031782800</v>
      </c>
      <c r="B303" s="25">
        <v>301</v>
      </c>
      <c r="C303" s="8" t="s">
        <v>25</v>
      </c>
      <c r="D303" s="12" t="str">
        <f t="shared" si="17"/>
        <v>护理</v>
      </c>
      <c r="E303" s="9" t="str">
        <f>"2018012507"</f>
        <v>2018012507</v>
      </c>
      <c r="F303" s="9">
        <v>54.5</v>
      </c>
      <c r="G303" s="9">
        <v>101</v>
      </c>
      <c r="H303" s="9">
        <f t="shared" si="14"/>
        <v>87.049999999999983</v>
      </c>
      <c r="I303" s="9"/>
    </row>
    <row r="304" spans="1:9" ht="18.75" customHeight="1">
      <c r="A304" s="3" t="str">
        <f>"10522018022613144081832"</f>
        <v>10522018022613144081832</v>
      </c>
      <c r="B304" s="25">
        <v>302</v>
      </c>
      <c r="C304" s="8" t="s">
        <v>25</v>
      </c>
      <c r="D304" s="12" t="str">
        <f t="shared" si="17"/>
        <v>护理</v>
      </c>
      <c r="E304" s="9" t="str">
        <f>"2018012416"</f>
        <v>2018012416</v>
      </c>
      <c r="F304" s="9">
        <v>50</v>
      </c>
      <c r="G304" s="9">
        <v>102</v>
      </c>
      <c r="H304" s="9">
        <f t="shared" ref="H304:H364" si="18">F304*0.3+G304*0.7</f>
        <v>86.399999999999991</v>
      </c>
      <c r="I304" s="9"/>
    </row>
    <row r="305" spans="1:9" ht="18.75" customHeight="1">
      <c r="A305" s="3" t="str">
        <f>"10522018022609131481590"</f>
        <v>10522018022609131481590</v>
      </c>
      <c r="B305" s="25">
        <v>303</v>
      </c>
      <c r="C305" s="8" t="s">
        <v>25</v>
      </c>
      <c r="D305" s="12" t="str">
        <f t="shared" si="17"/>
        <v>护理</v>
      </c>
      <c r="E305" s="9" t="str">
        <f>"2018012429"</f>
        <v>2018012429</v>
      </c>
      <c r="F305" s="9">
        <v>44.5</v>
      </c>
      <c r="G305" s="9">
        <v>104</v>
      </c>
      <c r="H305" s="9">
        <f t="shared" si="18"/>
        <v>86.149999999999991</v>
      </c>
      <c r="I305" s="9"/>
    </row>
    <row r="306" spans="1:9" ht="18.75" customHeight="1">
      <c r="A306" s="3" t="str">
        <f>"10522018030119411983006"</f>
        <v>10522018030119411983006</v>
      </c>
      <c r="B306" s="25">
        <v>304</v>
      </c>
      <c r="C306" s="8" t="s">
        <v>25</v>
      </c>
      <c r="D306" s="12" t="str">
        <f t="shared" si="17"/>
        <v>护理</v>
      </c>
      <c r="E306" s="9" t="str">
        <f>"2018012807"</f>
        <v>2018012807</v>
      </c>
      <c r="F306" s="9">
        <v>60.5</v>
      </c>
      <c r="G306" s="9">
        <v>97</v>
      </c>
      <c r="H306" s="9">
        <f t="shared" si="18"/>
        <v>86.049999999999983</v>
      </c>
      <c r="I306" s="9"/>
    </row>
    <row r="307" spans="1:9" ht="18.75" customHeight="1">
      <c r="A307" s="3" t="str">
        <f>"10522018030208032983067"</f>
        <v>10522018030208032983067</v>
      </c>
      <c r="B307" s="25">
        <v>305</v>
      </c>
      <c r="C307" s="8" t="s">
        <v>25</v>
      </c>
      <c r="D307" s="12" t="str">
        <f t="shared" si="17"/>
        <v>护理</v>
      </c>
      <c r="E307" s="9" t="str">
        <f>"2018012530"</f>
        <v>2018012530</v>
      </c>
      <c r="F307" s="9">
        <v>43.5</v>
      </c>
      <c r="G307" s="9">
        <v>104</v>
      </c>
      <c r="H307" s="9">
        <f t="shared" si="18"/>
        <v>85.85</v>
      </c>
      <c r="I307" s="9"/>
    </row>
    <row r="308" spans="1:9" ht="18.75" customHeight="1">
      <c r="A308" s="3" t="str">
        <f>"10522018022705282582120"</f>
        <v>10522018022705282582120</v>
      </c>
      <c r="B308" s="25">
        <v>306</v>
      </c>
      <c r="C308" s="8" t="s">
        <v>25</v>
      </c>
      <c r="D308" s="12" t="str">
        <f t="shared" si="17"/>
        <v>护理</v>
      </c>
      <c r="E308" s="9" t="str">
        <f>"2018012729"</f>
        <v>2018012729</v>
      </c>
      <c r="F308" s="9">
        <v>52</v>
      </c>
      <c r="G308" s="9">
        <v>100</v>
      </c>
      <c r="H308" s="9">
        <f t="shared" si="18"/>
        <v>85.6</v>
      </c>
      <c r="I308" s="9"/>
    </row>
    <row r="309" spans="1:9" ht="18.75" customHeight="1">
      <c r="A309" s="3" t="str">
        <f>"10522018022822440382767"</f>
        <v>10522018022822440382767</v>
      </c>
      <c r="B309" s="25">
        <v>307</v>
      </c>
      <c r="C309" s="8" t="s">
        <v>25</v>
      </c>
      <c r="D309" s="12" t="str">
        <f t="shared" si="17"/>
        <v>护理</v>
      </c>
      <c r="E309" s="9" t="str">
        <f>"2018012909"</f>
        <v>2018012909</v>
      </c>
      <c r="F309" s="9">
        <v>45</v>
      </c>
      <c r="G309" s="9">
        <v>103</v>
      </c>
      <c r="H309" s="9">
        <f t="shared" si="18"/>
        <v>85.6</v>
      </c>
      <c r="I309" s="9"/>
    </row>
    <row r="310" spans="1:9" ht="18.75" customHeight="1">
      <c r="A310" s="3" t="str">
        <f>"10522018022712195982219"</f>
        <v>10522018022712195982219</v>
      </c>
      <c r="B310" s="25">
        <v>308</v>
      </c>
      <c r="C310" s="8" t="s">
        <v>25</v>
      </c>
      <c r="D310" s="12" t="str">
        <f t="shared" si="17"/>
        <v>护理</v>
      </c>
      <c r="E310" s="9" t="str">
        <f>"2018012517"</f>
        <v>2018012517</v>
      </c>
      <c r="F310" s="9">
        <v>40</v>
      </c>
      <c r="G310" s="9">
        <v>105</v>
      </c>
      <c r="H310" s="9">
        <f t="shared" si="18"/>
        <v>85.5</v>
      </c>
      <c r="I310" s="9"/>
    </row>
    <row r="311" spans="1:9" ht="18.75" customHeight="1">
      <c r="A311" s="3" t="str">
        <f>"10522018022819155782705"</f>
        <v>10522018022819155782705</v>
      </c>
      <c r="B311" s="25">
        <v>309</v>
      </c>
      <c r="C311" s="8" t="s">
        <v>25</v>
      </c>
      <c r="D311" s="12" t="str">
        <f t="shared" si="17"/>
        <v>护理</v>
      </c>
      <c r="E311" s="9" t="str">
        <f>"2018012521"</f>
        <v>2018012521</v>
      </c>
      <c r="F311" s="9">
        <v>44</v>
      </c>
      <c r="G311" s="9">
        <v>103</v>
      </c>
      <c r="H311" s="9">
        <f t="shared" si="18"/>
        <v>85.3</v>
      </c>
      <c r="I311" s="9"/>
    </row>
    <row r="312" spans="1:9" ht="18.75" customHeight="1">
      <c r="A312" s="3" t="str">
        <f>"10522018022815035182627"</f>
        <v>10522018022815035182627</v>
      </c>
      <c r="B312" s="25">
        <v>310</v>
      </c>
      <c r="C312" s="8" t="s">
        <v>25</v>
      </c>
      <c r="D312" s="12" t="str">
        <f t="shared" si="17"/>
        <v>护理</v>
      </c>
      <c r="E312" s="9" t="str">
        <f>"2018012519"</f>
        <v>2018012519</v>
      </c>
      <c r="F312" s="9">
        <v>44.5</v>
      </c>
      <c r="G312" s="9">
        <v>102</v>
      </c>
      <c r="H312" s="9">
        <f t="shared" si="18"/>
        <v>84.749999999999986</v>
      </c>
      <c r="I312" s="9"/>
    </row>
    <row r="313" spans="1:9" ht="18.75" customHeight="1">
      <c r="A313" s="3" t="str">
        <f>"10522018030209231783084"</f>
        <v>10522018030209231783084</v>
      </c>
      <c r="B313" s="25">
        <v>311</v>
      </c>
      <c r="C313" s="8" t="s">
        <v>25</v>
      </c>
      <c r="D313" s="12" t="str">
        <f t="shared" si="17"/>
        <v>护理</v>
      </c>
      <c r="E313" s="9" t="str">
        <f>"2018012920"</f>
        <v>2018012920</v>
      </c>
      <c r="F313" s="9">
        <v>63</v>
      </c>
      <c r="G313" s="9">
        <v>94</v>
      </c>
      <c r="H313" s="9">
        <f t="shared" si="18"/>
        <v>84.699999999999989</v>
      </c>
      <c r="I313" s="9"/>
    </row>
    <row r="314" spans="1:9" ht="18.75" customHeight="1">
      <c r="A314" s="3" t="str">
        <f>"10522018022612592081825"</f>
        <v>10522018022612592081825</v>
      </c>
      <c r="B314" s="25">
        <v>312</v>
      </c>
      <c r="C314" s="8" t="s">
        <v>25</v>
      </c>
      <c r="D314" s="12" t="str">
        <f t="shared" si="17"/>
        <v>护理</v>
      </c>
      <c r="E314" s="9" t="str">
        <f>"2018012513"</f>
        <v>2018012513</v>
      </c>
      <c r="F314" s="9">
        <v>45.5</v>
      </c>
      <c r="G314" s="9">
        <v>101</v>
      </c>
      <c r="H314" s="9">
        <f t="shared" si="18"/>
        <v>84.35</v>
      </c>
      <c r="I314" s="9"/>
    </row>
    <row r="315" spans="1:9" ht="18.75" customHeight="1">
      <c r="A315" s="3" t="str">
        <f>"10522018022818280782682"</f>
        <v>10522018022818280782682</v>
      </c>
      <c r="B315" s="25">
        <v>313</v>
      </c>
      <c r="C315" s="8" t="s">
        <v>25</v>
      </c>
      <c r="D315" s="12" t="str">
        <f t="shared" si="17"/>
        <v>护理</v>
      </c>
      <c r="E315" s="9" t="str">
        <f>"2018012607"</f>
        <v>2018012607</v>
      </c>
      <c r="F315" s="9">
        <v>41</v>
      </c>
      <c r="G315" s="9">
        <v>102</v>
      </c>
      <c r="H315" s="9">
        <f t="shared" si="18"/>
        <v>83.699999999999989</v>
      </c>
      <c r="I315" s="9"/>
    </row>
    <row r="316" spans="1:9" ht="18.75" customHeight="1">
      <c r="A316" s="3" t="str">
        <f>"10522018022609470081629"</f>
        <v>10522018022609470081629</v>
      </c>
      <c r="B316" s="25">
        <v>314</v>
      </c>
      <c r="C316" s="8" t="s">
        <v>25</v>
      </c>
      <c r="D316" s="12" t="str">
        <f t="shared" si="17"/>
        <v>护理</v>
      </c>
      <c r="E316" s="9" t="str">
        <f>"2018012804"</f>
        <v>2018012804</v>
      </c>
      <c r="F316" s="9">
        <v>44.5</v>
      </c>
      <c r="G316" s="9">
        <v>100</v>
      </c>
      <c r="H316" s="9">
        <f t="shared" si="18"/>
        <v>83.35</v>
      </c>
      <c r="I316" s="9"/>
    </row>
    <row r="317" spans="1:9" ht="18.75" customHeight="1">
      <c r="A317" s="3" t="str">
        <f>"10522018022711090882191"</f>
        <v>10522018022711090882191</v>
      </c>
      <c r="B317" s="25">
        <v>315</v>
      </c>
      <c r="C317" s="8" t="s">
        <v>25</v>
      </c>
      <c r="D317" s="12" t="str">
        <f t="shared" si="17"/>
        <v>护理</v>
      </c>
      <c r="E317" s="9" t="str">
        <f>"2018012412"</f>
        <v>2018012412</v>
      </c>
      <c r="F317" s="9">
        <v>34.5</v>
      </c>
      <c r="G317" s="9">
        <v>104</v>
      </c>
      <c r="H317" s="9">
        <f t="shared" si="18"/>
        <v>83.149999999999991</v>
      </c>
      <c r="I317" s="9"/>
    </row>
    <row r="318" spans="1:9" ht="18.75" customHeight="1">
      <c r="A318" s="3" t="str">
        <f>"10522018022622061982104"</f>
        <v>10522018022622061982104</v>
      </c>
      <c r="B318" s="25">
        <v>316</v>
      </c>
      <c r="C318" s="8" t="s">
        <v>25</v>
      </c>
      <c r="D318" s="12" t="str">
        <f t="shared" si="17"/>
        <v>护理</v>
      </c>
      <c r="E318" s="9" t="str">
        <f>"2018013120"</f>
        <v>2018013120</v>
      </c>
      <c r="F318" s="9">
        <v>39</v>
      </c>
      <c r="G318" s="9">
        <v>102</v>
      </c>
      <c r="H318" s="9">
        <f t="shared" si="18"/>
        <v>83.1</v>
      </c>
      <c r="I318" s="9"/>
    </row>
    <row r="319" spans="1:9" ht="18.75" customHeight="1">
      <c r="A319" s="3" t="str">
        <f>"10522018030115445382935"</f>
        <v>10522018030115445382935</v>
      </c>
      <c r="B319" s="25">
        <v>317</v>
      </c>
      <c r="C319" s="8" t="s">
        <v>25</v>
      </c>
      <c r="D319" s="12" t="str">
        <f t="shared" si="17"/>
        <v>护理</v>
      </c>
      <c r="E319" s="9" t="str">
        <f>"2018013118"</f>
        <v>2018013118</v>
      </c>
      <c r="F319" s="9">
        <v>55</v>
      </c>
      <c r="G319" s="9">
        <v>95</v>
      </c>
      <c r="H319" s="9">
        <f t="shared" si="18"/>
        <v>83</v>
      </c>
      <c r="I319" s="9"/>
    </row>
    <row r="320" spans="1:9" ht="18.75" customHeight="1">
      <c r="A320" s="3" t="str">
        <f>"10522018022821110782741"</f>
        <v>10522018022821110782741</v>
      </c>
      <c r="B320" s="25">
        <v>318</v>
      </c>
      <c r="C320" s="8" t="s">
        <v>25</v>
      </c>
      <c r="D320" s="12" t="str">
        <f t="shared" si="17"/>
        <v>护理</v>
      </c>
      <c r="E320" s="9" t="str">
        <f>"2018012605"</f>
        <v>2018012605</v>
      </c>
      <c r="F320" s="9">
        <v>52.5</v>
      </c>
      <c r="G320" s="9">
        <v>96</v>
      </c>
      <c r="H320" s="9">
        <f t="shared" si="18"/>
        <v>82.949999999999989</v>
      </c>
      <c r="I320" s="9"/>
    </row>
    <row r="321" spans="1:9" ht="18.75" customHeight="1">
      <c r="A321" s="3" t="str">
        <f>"10522018022710081482163"</f>
        <v>10522018022710081482163</v>
      </c>
      <c r="B321" s="25">
        <v>319</v>
      </c>
      <c r="C321" s="8" t="s">
        <v>25</v>
      </c>
      <c r="D321" s="12" t="str">
        <f t="shared" si="17"/>
        <v>护理</v>
      </c>
      <c r="E321" s="9" t="str">
        <f>"2018012923"</f>
        <v>2018012923</v>
      </c>
      <c r="F321" s="9">
        <v>51.5</v>
      </c>
      <c r="G321" s="9">
        <v>96</v>
      </c>
      <c r="H321" s="9">
        <f t="shared" si="18"/>
        <v>82.649999999999991</v>
      </c>
      <c r="I321" s="9"/>
    </row>
    <row r="322" spans="1:9" ht="18.75" customHeight="1">
      <c r="A322" s="3" t="str">
        <f>"10522018022719240482363"</f>
        <v>10522018022719240482363</v>
      </c>
      <c r="B322" s="25">
        <v>320</v>
      </c>
      <c r="C322" s="8" t="s">
        <v>25</v>
      </c>
      <c r="D322" s="12" t="str">
        <f t="shared" si="17"/>
        <v>护理</v>
      </c>
      <c r="E322" s="9" t="str">
        <f>"2018012510"</f>
        <v>2018012510</v>
      </c>
      <c r="F322" s="9">
        <v>55.5</v>
      </c>
      <c r="G322" s="9">
        <v>94</v>
      </c>
      <c r="H322" s="9">
        <f t="shared" si="18"/>
        <v>82.449999999999989</v>
      </c>
      <c r="I322" s="9"/>
    </row>
    <row r="323" spans="1:9" ht="18.75" customHeight="1">
      <c r="A323" s="3" t="str">
        <f>"10522018022808194182463"</f>
        <v>10522018022808194182463</v>
      </c>
      <c r="B323" s="25">
        <v>321</v>
      </c>
      <c r="C323" s="8" t="s">
        <v>25</v>
      </c>
      <c r="D323" s="12" t="str">
        <f t="shared" si="17"/>
        <v>护理</v>
      </c>
      <c r="E323" s="9" t="str">
        <f>"2018013018"</f>
        <v>2018013018</v>
      </c>
      <c r="F323" s="9">
        <v>29.5</v>
      </c>
      <c r="G323" s="9">
        <v>105</v>
      </c>
      <c r="H323" s="9">
        <f t="shared" si="18"/>
        <v>82.35</v>
      </c>
      <c r="I323" s="9"/>
    </row>
    <row r="324" spans="1:9" ht="18.75" customHeight="1">
      <c r="A324" s="3" t="str">
        <f>"10522018030212280183129"</f>
        <v>10522018030212280183129</v>
      </c>
      <c r="B324" s="25">
        <v>322</v>
      </c>
      <c r="C324" s="8" t="s">
        <v>25</v>
      </c>
      <c r="D324" s="12" t="str">
        <f t="shared" si="17"/>
        <v>护理</v>
      </c>
      <c r="E324" s="9" t="str">
        <f>"2018013026"</f>
        <v>2018013026</v>
      </c>
      <c r="F324" s="9">
        <v>48</v>
      </c>
      <c r="G324" s="9">
        <v>97</v>
      </c>
      <c r="H324" s="9">
        <f t="shared" si="18"/>
        <v>82.299999999999983</v>
      </c>
      <c r="I324" s="9"/>
    </row>
    <row r="325" spans="1:9" ht="18.75" customHeight="1">
      <c r="A325" s="3" t="str">
        <f>"10522018030110530882831"</f>
        <v>10522018030110530882831</v>
      </c>
      <c r="B325" s="25">
        <v>323</v>
      </c>
      <c r="C325" s="8" t="s">
        <v>25</v>
      </c>
      <c r="D325" s="12" t="str">
        <f t="shared" si="17"/>
        <v>护理</v>
      </c>
      <c r="E325" s="9" t="str">
        <f>"2018013218"</f>
        <v>2018013218</v>
      </c>
      <c r="F325" s="9">
        <v>47.5</v>
      </c>
      <c r="G325" s="9">
        <v>97</v>
      </c>
      <c r="H325" s="9">
        <f t="shared" si="18"/>
        <v>82.149999999999991</v>
      </c>
      <c r="I325" s="9"/>
    </row>
    <row r="326" spans="1:9" ht="18.75" customHeight="1">
      <c r="A326" s="3" t="str">
        <f>"10522018022615235881916"</f>
        <v>10522018022615235881916</v>
      </c>
      <c r="B326" s="25">
        <v>324</v>
      </c>
      <c r="C326" s="8" t="s">
        <v>25</v>
      </c>
      <c r="D326" s="12" t="str">
        <f t="shared" si="17"/>
        <v>护理</v>
      </c>
      <c r="E326" s="9" t="str">
        <f>"2018013205"</f>
        <v>2018013205</v>
      </c>
      <c r="F326" s="9">
        <v>52</v>
      </c>
      <c r="G326" s="9">
        <v>95</v>
      </c>
      <c r="H326" s="9">
        <f t="shared" si="18"/>
        <v>82.1</v>
      </c>
      <c r="I326" s="9"/>
    </row>
    <row r="327" spans="1:9" ht="18.75" customHeight="1">
      <c r="A327" s="3" t="str">
        <f>"10522018022820174882726"</f>
        <v>10522018022820174882726</v>
      </c>
      <c r="B327" s="25">
        <v>325</v>
      </c>
      <c r="C327" s="8" t="s">
        <v>25</v>
      </c>
      <c r="D327" s="12" t="str">
        <f t="shared" si="17"/>
        <v>护理</v>
      </c>
      <c r="E327" s="9" t="str">
        <f>"2018012528"</f>
        <v>2018012528</v>
      </c>
      <c r="F327" s="9">
        <v>42</v>
      </c>
      <c r="G327" s="9">
        <v>99</v>
      </c>
      <c r="H327" s="9">
        <f t="shared" si="18"/>
        <v>81.899999999999991</v>
      </c>
      <c r="I327" s="9"/>
    </row>
    <row r="328" spans="1:9" ht="18.75" customHeight="1">
      <c r="A328" s="3" t="str">
        <f>"10522018030113392582897"</f>
        <v>10522018030113392582897</v>
      </c>
      <c r="B328" s="25">
        <v>326</v>
      </c>
      <c r="C328" s="8" t="s">
        <v>25</v>
      </c>
      <c r="D328" s="12" t="str">
        <f t="shared" si="17"/>
        <v>护理</v>
      </c>
      <c r="E328" s="9" t="str">
        <f>"2018012930"</f>
        <v>2018012930</v>
      </c>
      <c r="F328" s="9">
        <v>55</v>
      </c>
      <c r="G328" s="9">
        <v>93</v>
      </c>
      <c r="H328" s="9">
        <f t="shared" si="18"/>
        <v>81.599999999999994</v>
      </c>
      <c r="I328" s="9"/>
    </row>
    <row r="329" spans="1:9" ht="18.75" customHeight="1">
      <c r="A329" s="3" t="str">
        <f>"10522018030116405182960"</f>
        <v>10522018030116405182960</v>
      </c>
      <c r="B329" s="25">
        <v>327</v>
      </c>
      <c r="C329" s="8" t="s">
        <v>25</v>
      </c>
      <c r="D329" s="12" t="str">
        <f t="shared" ref="D329:D359" si="19">"护理"</f>
        <v>护理</v>
      </c>
      <c r="E329" s="9" t="str">
        <f>"2018013123"</f>
        <v>2018013123</v>
      </c>
      <c r="F329" s="9">
        <v>41</v>
      </c>
      <c r="G329" s="9">
        <v>99</v>
      </c>
      <c r="H329" s="9">
        <f t="shared" si="18"/>
        <v>81.599999999999994</v>
      </c>
      <c r="I329" s="9"/>
    </row>
    <row r="330" spans="1:9" ht="18.75" customHeight="1">
      <c r="A330" s="3" t="str">
        <f>"10522018022818511882694"</f>
        <v>10522018022818511882694</v>
      </c>
      <c r="B330" s="25">
        <v>328</v>
      </c>
      <c r="C330" s="8" t="s">
        <v>25</v>
      </c>
      <c r="D330" s="12" t="str">
        <f t="shared" si="19"/>
        <v>护理</v>
      </c>
      <c r="E330" s="9" t="str">
        <f>"2018012916"</f>
        <v>2018012916</v>
      </c>
      <c r="F330" s="9">
        <v>42.5</v>
      </c>
      <c r="G330" s="9">
        <v>98</v>
      </c>
      <c r="H330" s="9">
        <f t="shared" si="18"/>
        <v>81.349999999999994</v>
      </c>
      <c r="I330" s="9"/>
    </row>
    <row r="331" spans="1:9" ht="18.75" customHeight="1">
      <c r="A331" s="3" t="str">
        <f>"10522018022808471782470"</f>
        <v>10522018022808471782470</v>
      </c>
      <c r="B331" s="25">
        <v>329</v>
      </c>
      <c r="C331" s="8" t="s">
        <v>25</v>
      </c>
      <c r="D331" s="12" t="str">
        <f t="shared" si="19"/>
        <v>护理</v>
      </c>
      <c r="E331" s="9" t="str">
        <f>"2018012903"</f>
        <v>2018012903</v>
      </c>
      <c r="F331" s="9">
        <v>47</v>
      </c>
      <c r="G331" s="9">
        <v>96</v>
      </c>
      <c r="H331" s="9">
        <f t="shared" si="18"/>
        <v>81.299999999999983</v>
      </c>
      <c r="I331" s="9"/>
    </row>
    <row r="332" spans="1:9" ht="18.75" customHeight="1">
      <c r="A332" s="3" t="str">
        <f>"10522018022710193682170"</f>
        <v>10522018022710193682170</v>
      </c>
      <c r="B332" s="25">
        <v>330</v>
      </c>
      <c r="C332" s="8" t="s">
        <v>25</v>
      </c>
      <c r="D332" s="12" t="str">
        <f t="shared" si="19"/>
        <v>护理</v>
      </c>
      <c r="E332" s="9" t="str">
        <f>"2018012612"</f>
        <v>2018012612</v>
      </c>
      <c r="F332" s="9">
        <v>51</v>
      </c>
      <c r="G332" s="9">
        <v>94</v>
      </c>
      <c r="H332" s="9">
        <f t="shared" si="18"/>
        <v>81.099999999999994</v>
      </c>
      <c r="I332" s="9"/>
    </row>
    <row r="333" spans="1:9" ht="18.75" customHeight="1">
      <c r="A333" s="3" t="str">
        <f>"10522018022810244282508"</f>
        <v>10522018022810244282508</v>
      </c>
      <c r="B333" s="25">
        <v>331</v>
      </c>
      <c r="C333" s="8" t="s">
        <v>25</v>
      </c>
      <c r="D333" s="12" t="str">
        <f t="shared" si="19"/>
        <v>护理</v>
      </c>
      <c r="E333" s="9" t="str">
        <f>"2018013125"</f>
        <v>2018013125</v>
      </c>
      <c r="F333" s="9">
        <v>55.5</v>
      </c>
      <c r="G333" s="9">
        <v>92</v>
      </c>
      <c r="H333" s="9">
        <f t="shared" si="18"/>
        <v>81.049999999999983</v>
      </c>
      <c r="I333" s="9"/>
    </row>
    <row r="334" spans="1:9" ht="18.75" customHeight="1">
      <c r="A334" s="3" t="str">
        <f>"10522018022813052282579"</f>
        <v>10522018022813052282579</v>
      </c>
      <c r="B334" s="25">
        <v>332</v>
      </c>
      <c r="C334" s="8" t="s">
        <v>25</v>
      </c>
      <c r="D334" s="12" t="str">
        <f t="shared" si="19"/>
        <v>护理</v>
      </c>
      <c r="E334" s="9" t="str">
        <f>"2018012809"</f>
        <v>2018012809</v>
      </c>
      <c r="F334" s="9">
        <v>60</v>
      </c>
      <c r="G334" s="9">
        <v>90</v>
      </c>
      <c r="H334" s="9">
        <f t="shared" si="18"/>
        <v>81</v>
      </c>
      <c r="I334" s="9"/>
    </row>
    <row r="335" spans="1:9" ht="18.75" customHeight="1">
      <c r="A335" s="3" t="str">
        <f>"10522018030113524482902"</f>
        <v>10522018030113524482902</v>
      </c>
      <c r="B335" s="25">
        <v>333</v>
      </c>
      <c r="C335" s="8" t="s">
        <v>25</v>
      </c>
      <c r="D335" s="12" t="str">
        <f t="shared" si="19"/>
        <v>护理</v>
      </c>
      <c r="E335" s="9" t="str">
        <f>"2018013229"</f>
        <v>2018013229</v>
      </c>
      <c r="F335" s="9">
        <v>39</v>
      </c>
      <c r="G335" s="9">
        <v>99</v>
      </c>
      <c r="H335" s="9">
        <f t="shared" si="18"/>
        <v>81</v>
      </c>
      <c r="I335" s="9"/>
    </row>
    <row r="336" spans="1:9" ht="18.75" customHeight="1">
      <c r="A336" s="3" t="str">
        <f>"10522018022708431582132"</f>
        <v>10522018022708431582132</v>
      </c>
      <c r="B336" s="25">
        <v>334</v>
      </c>
      <c r="C336" s="8" t="s">
        <v>25</v>
      </c>
      <c r="D336" s="12" t="str">
        <f t="shared" si="19"/>
        <v>护理</v>
      </c>
      <c r="E336" s="9" t="str">
        <f>"2018013122"</f>
        <v>2018013122</v>
      </c>
      <c r="F336" s="9">
        <v>36.5</v>
      </c>
      <c r="G336" s="9">
        <v>100</v>
      </c>
      <c r="H336" s="9">
        <f t="shared" si="18"/>
        <v>80.95</v>
      </c>
      <c r="I336" s="9"/>
    </row>
    <row r="337" spans="1:9" ht="18.75" customHeight="1">
      <c r="A337" s="3" t="str">
        <f>"10522018022621545582100"</f>
        <v>10522018022621545582100</v>
      </c>
      <c r="B337" s="25">
        <v>335</v>
      </c>
      <c r="C337" s="8" t="s">
        <v>25</v>
      </c>
      <c r="D337" s="12" t="str">
        <f t="shared" si="19"/>
        <v>护理</v>
      </c>
      <c r="E337" s="9" t="str">
        <f>"2018012722"</f>
        <v>2018012722</v>
      </c>
      <c r="F337" s="9">
        <v>52.5</v>
      </c>
      <c r="G337" s="9">
        <v>93</v>
      </c>
      <c r="H337" s="9">
        <f t="shared" si="18"/>
        <v>80.849999999999994</v>
      </c>
      <c r="I337" s="9"/>
    </row>
    <row r="338" spans="1:9" ht="18.75" customHeight="1">
      <c r="A338" s="3" t="str">
        <f>"10522018030120485183024"</f>
        <v>10522018030120485183024</v>
      </c>
      <c r="B338" s="25">
        <v>336</v>
      </c>
      <c r="C338" s="8" t="s">
        <v>25</v>
      </c>
      <c r="D338" s="12" t="str">
        <f t="shared" si="19"/>
        <v>护理</v>
      </c>
      <c r="E338" s="9" t="str">
        <f>"2018013227"</f>
        <v>2018013227</v>
      </c>
      <c r="F338" s="9">
        <v>44.5</v>
      </c>
      <c r="G338" s="9">
        <v>96</v>
      </c>
      <c r="H338" s="9">
        <f t="shared" si="18"/>
        <v>80.549999999999983</v>
      </c>
      <c r="I338" s="9"/>
    </row>
    <row r="339" spans="1:9" ht="18.75" customHeight="1">
      <c r="A339" s="3" t="str">
        <f>"10522018022723382182451"</f>
        <v>10522018022723382182451</v>
      </c>
      <c r="B339" s="25">
        <v>337</v>
      </c>
      <c r="C339" s="8" t="s">
        <v>25</v>
      </c>
      <c r="D339" s="12" t="str">
        <f t="shared" si="19"/>
        <v>护理</v>
      </c>
      <c r="E339" s="9" t="str">
        <f>"2018012627"</f>
        <v>2018012627</v>
      </c>
      <c r="F339" s="9">
        <v>42</v>
      </c>
      <c r="G339" s="9">
        <v>97</v>
      </c>
      <c r="H339" s="9">
        <f t="shared" si="18"/>
        <v>80.499999999999986</v>
      </c>
      <c r="I339" s="9"/>
    </row>
    <row r="340" spans="1:9" ht="18.75" customHeight="1">
      <c r="A340" s="3" t="str">
        <f>"10522018022812580982573"</f>
        <v>10522018022812580982573</v>
      </c>
      <c r="B340" s="25">
        <v>338</v>
      </c>
      <c r="C340" s="8" t="s">
        <v>25</v>
      </c>
      <c r="D340" s="12" t="str">
        <f t="shared" si="19"/>
        <v>护理</v>
      </c>
      <c r="E340" s="9" t="str">
        <f>"2018013113"</f>
        <v>2018013113</v>
      </c>
      <c r="F340" s="9">
        <v>58</v>
      </c>
      <c r="G340" s="9">
        <v>90</v>
      </c>
      <c r="H340" s="9">
        <f t="shared" si="18"/>
        <v>80.399999999999991</v>
      </c>
      <c r="I340" s="9"/>
    </row>
    <row r="341" spans="1:9" ht="18.75" customHeight="1">
      <c r="A341" s="3" t="str">
        <f>"10522018022708275882129"</f>
        <v>10522018022708275882129</v>
      </c>
      <c r="B341" s="25">
        <v>339</v>
      </c>
      <c r="C341" s="8" t="s">
        <v>25</v>
      </c>
      <c r="D341" s="12" t="str">
        <f t="shared" si="19"/>
        <v>护理</v>
      </c>
      <c r="E341" s="9" t="str">
        <f>"2018012425"</f>
        <v>2018012425</v>
      </c>
      <c r="F341" s="9">
        <v>39</v>
      </c>
      <c r="G341" s="9">
        <v>98</v>
      </c>
      <c r="H341" s="9">
        <f t="shared" si="18"/>
        <v>80.3</v>
      </c>
      <c r="I341" s="9"/>
    </row>
    <row r="342" spans="1:9" ht="18.75" customHeight="1">
      <c r="A342" s="3" t="str">
        <f>"10522018030209040883079"</f>
        <v>10522018030209040883079</v>
      </c>
      <c r="B342" s="25">
        <v>340</v>
      </c>
      <c r="C342" s="8" t="s">
        <v>25</v>
      </c>
      <c r="D342" s="12" t="str">
        <f t="shared" si="19"/>
        <v>护理</v>
      </c>
      <c r="E342" s="9" t="str">
        <f>"2018012522"</f>
        <v>2018012522</v>
      </c>
      <c r="F342" s="9">
        <v>29.5</v>
      </c>
      <c r="G342" s="9">
        <v>102</v>
      </c>
      <c r="H342" s="9">
        <f t="shared" si="18"/>
        <v>80.249999999999986</v>
      </c>
      <c r="I342" s="9"/>
    </row>
    <row r="343" spans="1:9" ht="18.75" customHeight="1">
      <c r="A343" s="3" t="str">
        <f>"10522018030116344282958"</f>
        <v>10522018030116344282958</v>
      </c>
      <c r="B343" s="25">
        <v>341</v>
      </c>
      <c r="C343" s="8" t="s">
        <v>25</v>
      </c>
      <c r="D343" s="12" t="str">
        <f t="shared" si="19"/>
        <v>护理</v>
      </c>
      <c r="E343" s="9" t="str">
        <f>"2018012414"</f>
        <v>2018012414</v>
      </c>
      <c r="F343" s="9">
        <v>52.5</v>
      </c>
      <c r="G343" s="9">
        <v>92</v>
      </c>
      <c r="H343" s="9">
        <f t="shared" si="18"/>
        <v>80.149999999999991</v>
      </c>
      <c r="I343" s="9"/>
    </row>
    <row r="344" spans="1:9" ht="18.75" customHeight="1">
      <c r="A344" s="3" t="str">
        <f>"10522018022613213481836"</f>
        <v>10522018022613213481836</v>
      </c>
      <c r="B344" s="25">
        <v>342</v>
      </c>
      <c r="C344" s="8" t="s">
        <v>25</v>
      </c>
      <c r="D344" s="12" t="str">
        <f t="shared" si="19"/>
        <v>护理</v>
      </c>
      <c r="E344" s="9" t="str">
        <f>"2018013114"</f>
        <v>2018013114</v>
      </c>
      <c r="F344" s="9">
        <v>35.5</v>
      </c>
      <c r="G344" s="9">
        <v>99</v>
      </c>
      <c r="H344" s="9">
        <f t="shared" si="18"/>
        <v>79.95</v>
      </c>
      <c r="I344" s="9"/>
    </row>
    <row r="345" spans="1:9" ht="18.75" customHeight="1">
      <c r="A345" s="3" t="str">
        <f>"10522018022613223981839"</f>
        <v>10522018022613223981839</v>
      </c>
      <c r="B345" s="25">
        <v>343</v>
      </c>
      <c r="C345" s="8" t="s">
        <v>25</v>
      </c>
      <c r="D345" s="12" t="str">
        <f t="shared" si="19"/>
        <v>护理</v>
      </c>
      <c r="E345" s="9" t="str">
        <f>"2018012525"</f>
        <v>2018012525</v>
      </c>
      <c r="F345" s="9">
        <v>40</v>
      </c>
      <c r="G345" s="9">
        <v>97</v>
      </c>
      <c r="H345" s="9">
        <f t="shared" si="18"/>
        <v>79.899999999999991</v>
      </c>
      <c r="I345" s="9"/>
    </row>
    <row r="346" spans="1:9" ht="18.75" customHeight="1">
      <c r="A346" s="3" t="str">
        <f>"10522018022822235882762"</f>
        <v>10522018022822235882762</v>
      </c>
      <c r="B346" s="25">
        <v>344</v>
      </c>
      <c r="C346" s="8" t="s">
        <v>25</v>
      </c>
      <c r="D346" s="12" t="str">
        <f t="shared" si="19"/>
        <v>护理</v>
      </c>
      <c r="E346" s="9" t="str">
        <f>"2018012801"</f>
        <v>2018012801</v>
      </c>
      <c r="F346" s="9">
        <v>54</v>
      </c>
      <c r="G346" s="9">
        <v>91</v>
      </c>
      <c r="H346" s="9">
        <f t="shared" si="18"/>
        <v>79.899999999999991</v>
      </c>
      <c r="I346" s="9"/>
    </row>
    <row r="347" spans="1:9" ht="18.75" customHeight="1">
      <c r="A347" s="3" t="str">
        <f>"10522018022708495982135"</f>
        <v>10522018022708495982135</v>
      </c>
      <c r="B347" s="25">
        <v>345</v>
      </c>
      <c r="C347" s="8" t="s">
        <v>25</v>
      </c>
      <c r="D347" s="12" t="str">
        <f t="shared" si="19"/>
        <v>护理</v>
      </c>
      <c r="E347" s="9" t="str">
        <f>"2018012415"</f>
        <v>2018012415</v>
      </c>
      <c r="F347" s="9">
        <v>58</v>
      </c>
      <c r="G347" s="9">
        <v>89</v>
      </c>
      <c r="H347" s="9">
        <f t="shared" si="18"/>
        <v>79.699999999999989</v>
      </c>
      <c r="I347" s="9"/>
    </row>
    <row r="348" spans="1:9" ht="18.75" customHeight="1">
      <c r="A348" s="3" t="str">
        <f>"10522018030119553783009"</f>
        <v>10522018030119553783009</v>
      </c>
      <c r="B348" s="25">
        <v>346</v>
      </c>
      <c r="C348" s="8" t="s">
        <v>25</v>
      </c>
      <c r="D348" s="12" t="str">
        <f t="shared" si="19"/>
        <v>护理</v>
      </c>
      <c r="E348" s="9" t="str">
        <f>"2018013126"</f>
        <v>2018013126</v>
      </c>
      <c r="F348" s="9">
        <v>36.5</v>
      </c>
      <c r="G348" s="9">
        <v>98</v>
      </c>
      <c r="H348" s="9">
        <f t="shared" si="18"/>
        <v>79.55</v>
      </c>
      <c r="I348" s="9"/>
    </row>
    <row r="349" spans="1:9" ht="18.75" customHeight="1">
      <c r="A349" s="3" t="str">
        <f>"10522018022613460581856"</f>
        <v>10522018022613460581856</v>
      </c>
      <c r="B349" s="25">
        <v>347</v>
      </c>
      <c r="C349" s="8" t="s">
        <v>25</v>
      </c>
      <c r="D349" s="12" t="str">
        <f t="shared" si="19"/>
        <v>护理</v>
      </c>
      <c r="E349" s="9" t="str">
        <f>"2018012606"</f>
        <v>2018012606</v>
      </c>
      <c r="F349" s="9">
        <v>55</v>
      </c>
      <c r="G349" s="9">
        <v>90</v>
      </c>
      <c r="H349" s="9">
        <f t="shared" si="18"/>
        <v>79.5</v>
      </c>
      <c r="I349" s="9"/>
    </row>
    <row r="350" spans="1:9" ht="18.75" customHeight="1">
      <c r="A350" s="3" t="str">
        <f>"10522018022609424981625"</f>
        <v>10522018022609424981625</v>
      </c>
      <c r="B350" s="25">
        <v>348</v>
      </c>
      <c r="C350" s="8" t="s">
        <v>25</v>
      </c>
      <c r="D350" s="12" t="str">
        <f t="shared" si="19"/>
        <v>护理</v>
      </c>
      <c r="E350" s="9" t="str">
        <f>"2018012508"</f>
        <v>2018012508</v>
      </c>
      <c r="F350" s="9">
        <v>50</v>
      </c>
      <c r="G350" s="9">
        <v>92</v>
      </c>
      <c r="H350" s="9">
        <f t="shared" si="18"/>
        <v>79.399999999999991</v>
      </c>
      <c r="I350" s="9"/>
    </row>
    <row r="351" spans="1:9" ht="18.75" customHeight="1">
      <c r="A351" s="3" t="str">
        <f>"10522018022813015682577"</f>
        <v>10522018022813015682577</v>
      </c>
      <c r="B351" s="25">
        <v>349</v>
      </c>
      <c r="C351" s="8" t="s">
        <v>25</v>
      </c>
      <c r="D351" s="12" t="str">
        <f t="shared" si="19"/>
        <v>护理</v>
      </c>
      <c r="E351" s="9" t="str">
        <f>"2018012613"</f>
        <v>2018012613</v>
      </c>
      <c r="F351" s="9">
        <v>33.5</v>
      </c>
      <c r="G351" s="9">
        <v>99</v>
      </c>
      <c r="H351" s="9">
        <f t="shared" si="18"/>
        <v>79.349999999999994</v>
      </c>
      <c r="I351" s="9"/>
    </row>
    <row r="352" spans="1:9" ht="18.75" customHeight="1">
      <c r="A352" s="3" t="str">
        <f>"10522018030208444483072"</f>
        <v>10522018030208444483072</v>
      </c>
      <c r="B352" s="25">
        <v>350</v>
      </c>
      <c r="C352" s="8" t="s">
        <v>25</v>
      </c>
      <c r="D352" s="12" t="str">
        <f t="shared" si="19"/>
        <v>护理</v>
      </c>
      <c r="E352" s="9" t="str">
        <f>"2018013115"</f>
        <v>2018013115</v>
      </c>
      <c r="F352" s="9">
        <v>37.5</v>
      </c>
      <c r="G352" s="9">
        <v>97</v>
      </c>
      <c r="H352" s="9">
        <f t="shared" si="18"/>
        <v>79.149999999999991</v>
      </c>
      <c r="I352" s="9"/>
    </row>
    <row r="353" spans="1:9" ht="18.75" customHeight="1">
      <c r="A353" s="3" t="str">
        <f>"10522018022620201582052"</f>
        <v>10522018022620201582052</v>
      </c>
      <c r="B353" s="25">
        <v>351</v>
      </c>
      <c r="C353" s="8" t="s">
        <v>25</v>
      </c>
      <c r="D353" s="12" t="str">
        <f t="shared" si="19"/>
        <v>护理</v>
      </c>
      <c r="E353" s="9" t="str">
        <f>"2018012714"</f>
        <v>2018012714</v>
      </c>
      <c r="F353" s="9">
        <v>42</v>
      </c>
      <c r="G353" s="9">
        <v>95</v>
      </c>
      <c r="H353" s="9">
        <f t="shared" si="18"/>
        <v>79.099999999999994</v>
      </c>
      <c r="I353" s="9"/>
    </row>
    <row r="354" spans="1:9" ht="18.75" customHeight="1">
      <c r="A354" s="3" t="str">
        <f>"10522018030120405383020"</f>
        <v>10522018030120405383020</v>
      </c>
      <c r="B354" s="25">
        <v>352</v>
      </c>
      <c r="C354" s="8" t="s">
        <v>25</v>
      </c>
      <c r="D354" s="12" t="str">
        <f t="shared" si="19"/>
        <v>护理</v>
      </c>
      <c r="E354" s="9" t="str">
        <f>"2018012820"</f>
        <v>2018012820</v>
      </c>
      <c r="F354" s="9">
        <v>58</v>
      </c>
      <c r="G354" s="9">
        <v>88</v>
      </c>
      <c r="H354" s="9">
        <f t="shared" si="18"/>
        <v>79</v>
      </c>
      <c r="I354" s="9"/>
    </row>
    <row r="355" spans="1:9" ht="18.75" customHeight="1">
      <c r="A355" s="3" t="str">
        <f>"10522018022715333882284"</f>
        <v>10522018022715333882284</v>
      </c>
      <c r="B355" s="25">
        <v>353</v>
      </c>
      <c r="C355" s="8" t="s">
        <v>25</v>
      </c>
      <c r="D355" s="12" t="str">
        <f t="shared" si="19"/>
        <v>护理</v>
      </c>
      <c r="E355" s="9" t="str">
        <f>"2018013021"</f>
        <v>2018013021</v>
      </c>
      <c r="F355" s="9">
        <v>35.5</v>
      </c>
      <c r="G355" s="9">
        <v>97</v>
      </c>
      <c r="H355" s="9">
        <f t="shared" si="18"/>
        <v>78.55</v>
      </c>
      <c r="I355" s="9"/>
    </row>
    <row r="356" spans="1:9" ht="18.75" customHeight="1">
      <c r="A356" s="3" t="str">
        <f>"10522018022715103082274"</f>
        <v>10522018022715103082274</v>
      </c>
      <c r="B356" s="25">
        <v>354</v>
      </c>
      <c r="C356" s="8" t="s">
        <v>25</v>
      </c>
      <c r="D356" s="12" t="str">
        <f t="shared" si="19"/>
        <v>护理</v>
      </c>
      <c r="E356" s="9" t="str">
        <f>"2018012610"</f>
        <v>2018012610</v>
      </c>
      <c r="F356" s="9">
        <v>46.5</v>
      </c>
      <c r="G356" s="9">
        <v>92</v>
      </c>
      <c r="H356" s="9">
        <f t="shared" si="18"/>
        <v>78.349999999999994</v>
      </c>
      <c r="I356" s="9"/>
    </row>
    <row r="357" spans="1:9" ht="18.75" customHeight="1">
      <c r="A357" s="3" t="str">
        <f>"10522018030123020183050"</f>
        <v>10522018030123020183050</v>
      </c>
      <c r="B357" s="25">
        <v>355</v>
      </c>
      <c r="C357" s="8" t="s">
        <v>25</v>
      </c>
      <c r="D357" s="12" t="str">
        <f t="shared" si="19"/>
        <v>护理</v>
      </c>
      <c r="E357" s="9" t="str">
        <f>"2018012614"</f>
        <v>2018012614</v>
      </c>
      <c r="F357" s="9">
        <v>50.5</v>
      </c>
      <c r="G357" s="9">
        <v>90</v>
      </c>
      <c r="H357" s="9">
        <f t="shared" si="18"/>
        <v>78.149999999999991</v>
      </c>
      <c r="I357" s="9"/>
    </row>
    <row r="358" spans="1:9" ht="18.75" customHeight="1">
      <c r="A358" s="3" t="str">
        <f>"10522018030116085482947"</f>
        <v>10522018030116085482947</v>
      </c>
      <c r="B358" s="25">
        <v>356</v>
      </c>
      <c r="C358" s="8" t="s">
        <v>25</v>
      </c>
      <c r="D358" s="12" t="str">
        <f t="shared" si="19"/>
        <v>护理</v>
      </c>
      <c r="E358" s="9" t="str">
        <f>"2018013006"</f>
        <v>2018013006</v>
      </c>
      <c r="F358" s="9">
        <v>33.5</v>
      </c>
      <c r="G358" s="9">
        <v>97</v>
      </c>
      <c r="H358" s="9">
        <f t="shared" si="18"/>
        <v>77.949999999999989</v>
      </c>
      <c r="I358" s="9"/>
    </row>
    <row r="359" spans="1:9" ht="18.75" customHeight="1">
      <c r="A359" s="3" t="str">
        <f>"10522018022712164082214"</f>
        <v>10522018022712164082214</v>
      </c>
      <c r="B359" s="25">
        <v>357</v>
      </c>
      <c r="C359" s="8" t="s">
        <v>25</v>
      </c>
      <c r="D359" s="12" t="str">
        <f t="shared" si="19"/>
        <v>护理</v>
      </c>
      <c r="E359" s="9" t="str">
        <f>"2018013204"</f>
        <v>2018013204</v>
      </c>
      <c r="F359" s="9">
        <v>33.5</v>
      </c>
      <c r="G359" s="9">
        <v>97</v>
      </c>
      <c r="H359" s="9">
        <f t="shared" si="18"/>
        <v>77.949999999999989</v>
      </c>
      <c r="I359" s="9"/>
    </row>
    <row r="360" spans="1:9" ht="18.75" customHeight="1">
      <c r="A360" s="3" t="str">
        <f>"10522018022609170581596"</f>
        <v>10522018022609170581596</v>
      </c>
      <c r="B360" s="25">
        <v>358</v>
      </c>
      <c r="C360" s="8" t="s">
        <v>25</v>
      </c>
      <c r="D360" s="12" t="str">
        <f t="shared" ref="D360:D387" si="20">"护理"</f>
        <v>护理</v>
      </c>
      <c r="E360" s="9" t="str">
        <f>"2018012803"</f>
        <v>2018012803</v>
      </c>
      <c r="F360" s="9">
        <v>42.5</v>
      </c>
      <c r="G360" s="9">
        <v>93</v>
      </c>
      <c r="H360" s="9">
        <f t="shared" si="18"/>
        <v>77.849999999999994</v>
      </c>
      <c r="I360" s="9"/>
    </row>
    <row r="361" spans="1:9" ht="18.75" customHeight="1">
      <c r="A361" s="3" t="str">
        <f>"10522018022819362582714"</f>
        <v>10522018022819362582714</v>
      </c>
      <c r="B361" s="25">
        <v>359</v>
      </c>
      <c r="C361" s="8" t="s">
        <v>25</v>
      </c>
      <c r="D361" s="12" t="str">
        <f t="shared" si="20"/>
        <v>护理</v>
      </c>
      <c r="E361" s="9" t="str">
        <f>"2018012512"</f>
        <v>2018012512</v>
      </c>
      <c r="F361" s="9">
        <v>42</v>
      </c>
      <c r="G361" s="9">
        <v>93</v>
      </c>
      <c r="H361" s="9">
        <f t="shared" si="18"/>
        <v>77.699999999999989</v>
      </c>
      <c r="I361" s="9"/>
    </row>
    <row r="362" spans="1:9" ht="18.75" customHeight="1">
      <c r="A362" s="3" t="str">
        <f>"10522018022614460781893"</f>
        <v>10522018022614460781893</v>
      </c>
      <c r="B362" s="25">
        <v>360</v>
      </c>
      <c r="C362" s="8" t="s">
        <v>25</v>
      </c>
      <c r="D362" s="12" t="str">
        <f t="shared" si="20"/>
        <v>护理</v>
      </c>
      <c r="E362" s="9" t="str">
        <f>"2018013222"</f>
        <v>2018013222</v>
      </c>
      <c r="F362" s="9">
        <v>49</v>
      </c>
      <c r="G362" s="9">
        <v>90</v>
      </c>
      <c r="H362" s="9">
        <f t="shared" si="18"/>
        <v>77.699999999999989</v>
      </c>
      <c r="I362" s="9"/>
    </row>
    <row r="363" spans="1:9" ht="18.75" customHeight="1">
      <c r="A363" s="3" t="str">
        <f>"10522018022720005282384"</f>
        <v>10522018022720005282384</v>
      </c>
      <c r="B363" s="25">
        <v>361</v>
      </c>
      <c r="C363" s="8" t="s">
        <v>25</v>
      </c>
      <c r="D363" s="12" t="str">
        <f t="shared" si="20"/>
        <v>护理</v>
      </c>
      <c r="E363" s="9" t="str">
        <f>"2018012817"</f>
        <v>2018012817</v>
      </c>
      <c r="F363" s="9">
        <v>39.5</v>
      </c>
      <c r="G363" s="9">
        <v>94</v>
      </c>
      <c r="H363" s="9">
        <f t="shared" si="18"/>
        <v>77.649999999999991</v>
      </c>
      <c r="I363" s="9"/>
    </row>
    <row r="364" spans="1:9" ht="18.75" customHeight="1">
      <c r="A364" s="3" t="str">
        <f>"10522018022717050082311"</f>
        <v>10522018022717050082311</v>
      </c>
      <c r="B364" s="25">
        <v>362</v>
      </c>
      <c r="C364" s="8" t="s">
        <v>25</v>
      </c>
      <c r="D364" s="12" t="str">
        <f t="shared" si="20"/>
        <v>护理</v>
      </c>
      <c r="E364" s="9" t="str">
        <f>"2018012630"</f>
        <v>2018012630</v>
      </c>
      <c r="F364" s="9">
        <v>37</v>
      </c>
      <c r="G364" s="9">
        <v>95</v>
      </c>
      <c r="H364" s="9">
        <f t="shared" si="18"/>
        <v>77.599999999999994</v>
      </c>
      <c r="I364" s="9"/>
    </row>
    <row r="365" spans="1:9" ht="18.75" customHeight="1">
      <c r="A365" s="3" t="str">
        <f>"10522018022612375981799"</f>
        <v>10522018022612375981799</v>
      </c>
      <c r="B365" s="25">
        <v>363</v>
      </c>
      <c r="C365" s="8" t="s">
        <v>25</v>
      </c>
      <c r="D365" s="12" t="str">
        <f t="shared" si="20"/>
        <v>护理</v>
      </c>
      <c r="E365" s="9" t="str">
        <f>"2018012401"</f>
        <v>2018012401</v>
      </c>
      <c r="F365" s="9">
        <v>34.5</v>
      </c>
      <c r="G365" s="9">
        <v>96</v>
      </c>
      <c r="H365" s="9">
        <f t="shared" ref="H365:H429" si="21">F365*0.3+G365*0.7</f>
        <v>77.549999999999983</v>
      </c>
      <c r="I365" s="9"/>
    </row>
    <row r="366" spans="1:9" ht="18.75" customHeight="1">
      <c r="A366" s="3" t="str">
        <f>"10522018022610205681668"</f>
        <v>10522018022610205681668</v>
      </c>
      <c r="B366" s="25">
        <v>364</v>
      </c>
      <c r="C366" s="8" t="s">
        <v>25</v>
      </c>
      <c r="D366" s="12" t="str">
        <f t="shared" si="20"/>
        <v>护理</v>
      </c>
      <c r="E366" s="9" t="str">
        <f>"2018012626"</f>
        <v>2018012626</v>
      </c>
      <c r="F366" s="9">
        <v>39</v>
      </c>
      <c r="G366" s="9">
        <v>94</v>
      </c>
      <c r="H366" s="9">
        <f t="shared" si="21"/>
        <v>77.5</v>
      </c>
      <c r="I366" s="9"/>
    </row>
    <row r="367" spans="1:9" ht="18.75" customHeight="1">
      <c r="A367" s="3" t="str">
        <f>"10522018022717385982318"</f>
        <v>10522018022717385982318</v>
      </c>
      <c r="B367" s="25">
        <v>365</v>
      </c>
      <c r="C367" s="8" t="s">
        <v>25</v>
      </c>
      <c r="D367" s="12" t="str">
        <f t="shared" si="20"/>
        <v>护理</v>
      </c>
      <c r="E367" s="9" t="str">
        <f>"2018013003"</f>
        <v>2018013003</v>
      </c>
      <c r="F367" s="9">
        <v>43</v>
      </c>
      <c r="G367" s="9">
        <v>92</v>
      </c>
      <c r="H367" s="9">
        <f t="shared" si="21"/>
        <v>77.3</v>
      </c>
      <c r="I367" s="9"/>
    </row>
    <row r="368" spans="1:9" ht="18.75" customHeight="1">
      <c r="A368" s="3" t="str">
        <f>"10522018022621422282093"</f>
        <v>10522018022621422282093</v>
      </c>
      <c r="B368" s="25">
        <v>366</v>
      </c>
      <c r="C368" s="8" t="s">
        <v>25</v>
      </c>
      <c r="D368" s="12" t="str">
        <f t="shared" si="20"/>
        <v>护理</v>
      </c>
      <c r="E368" s="9" t="str">
        <f>"2018012707"</f>
        <v>2018012707</v>
      </c>
      <c r="F368" s="9">
        <v>45</v>
      </c>
      <c r="G368" s="9">
        <v>91</v>
      </c>
      <c r="H368" s="9">
        <f t="shared" si="21"/>
        <v>77.199999999999989</v>
      </c>
      <c r="I368" s="9"/>
    </row>
    <row r="369" spans="1:9" ht="18.75" customHeight="1">
      <c r="A369" s="3" t="str">
        <f>"10522018022814172682612"</f>
        <v>10522018022814172682612</v>
      </c>
      <c r="B369" s="25">
        <v>367</v>
      </c>
      <c r="C369" s="8" t="s">
        <v>25</v>
      </c>
      <c r="D369" s="12" t="str">
        <f t="shared" si="20"/>
        <v>护理</v>
      </c>
      <c r="E369" s="9" t="str">
        <f>"2018013224"</f>
        <v>2018013224</v>
      </c>
      <c r="F369" s="9">
        <v>42</v>
      </c>
      <c r="G369" s="9">
        <v>92</v>
      </c>
      <c r="H369" s="9">
        <f t="shared" si="21"/>
        <v>76.999999999999986</v>
      </c>
      <c r="I369" s="9"/>
    </row>
    <row r="370" spans="1:9" ht="18.75" customHeight="1">
      <c r="A370" s="3" t="str">
        <f>"10522018022814504482621"</f>
        <v>10522018022814504482621</v>
      </c>
      <c r="B370" s="25">
        <v>368</v>
      </c>
      <c r="C370" s="8" t="s">
        <v>25</v>
      </c>
      <c r="D370" s="12" t="str">
        <f t="shared" si="20"/>
        <v>护理</v>
      </c>
      <c r="E370" s="9" t="str">
        <f>"2018012504"</f>
        <v>2018012504</v>
      </c>
      <c r="F370" s="9">
        <v>25.5</v>
      </c>
      <c r="G370" s="9">
        <v>99</v>
      </c>
      <c r="H370" s="9">
        <f t="shared" si="21"/>
        <v>76.95</v>
      </c>
      <c r="I370" s="9"/>
    </row>
    <row r="371" spans="1:9" ht="18.75" customHeight="1">
      <c r="A371" s="3" t="str">
        <f>"10522018022718462582335"</f>
        <v>10522018022718462582335</v>
      </c>
      <c r="B371" s="25">
        <v>369</v>
      </c>
      <c r="C371" s="8" t="s">
        <v>25</v>
      </c>
      <c r="D371" s="12" t="str">
        <f t="shared" si="20"/>
        <v>护理</v>
      </c>
      <c r="E371" s="9" t="str">
        <f>"2018012407"</f>
        <v>2018012407</v>
      </c>
      <c r="F371" s="9">
        <v>39.5</v>
      </c>
      <c r="G371" s="9">
        <v>93</v>
      </c>
      <c r="H371" s="9">
        <f t="shared" si="21"/>
        <v>76.949999999999989</v>
      </c>
      <c r="I371" s="9"/>
    </row>
    <row r="372" spans="1:9" ht="18.75" customHeight="1">
      <c r="A372" s="3" t="str">
        <f>"10522018022621492082097"</f>
        <v>10522018022621492082097</v>
      </c>
      <c r="B372" s="25">
        <v>370</v>
      </c>
      <c r="C372" s="8" t="s">
        <v>25</v>
      </c>
      <c r="D372" s="12" t="str">
        <f t="shared" si="20"/>
        <v>护理</v>
      </c>
      <c r="E372" s="9" t="str">
        <f>"2018012705"</f>
        <v>2018012705</v>
      </c>
      <c r="F372" s="9">
        <v>44</v>
      </c>
      <c r="G372" s="9">
        <v>91</v>
      </c>
      <c r="H372" s="9">
        <f t="shared" si="21"/>
        <v>76.899999999999991</v>
      </c>
      <c r="I372" s="9"/>
    </row>
    <row r="373" spans="1:9" ht="18.75" customHeight="1">
      <c r="A373" s="3" t="str">
        <f>"10522018022710283682176"</f>
        <v>10522018022710283682176</v>
      </c>
      <c r="B373" s="25">
        <v>371</v>
      </c>
      <c r="C373" s="8" t="s">
        <v>25</v>
      </c>
      <c r="D373" s="12" t="str">
        <f t="shared" si="20"/>
        <v>护理</v>
      </c>
      <c r="E373" s="9" t="str">
        <f>"2018012520"</f>
        <v>2018012520</v>
      </c>
      <c r="F373" s="9">
        <v>48.5</v>
      </c>
      <c r="G373" s="9">
        <v>89</v>
      </c>
      <c r="H373" s="9">
        <f t="shared" si="21"/>
        <v>76.849999999999994</v>
      </c>
      <c r="I373" s="9"/>
    </row>
    <row r="374" spans="1:9" ht="18.75" customHeight="1">
      <c r="A374" s="3" t="str">
        <f>"10522018022722030782436"</f>
        <v>10522018022722030782436</v>
      </c>
      <c r="B374" s="25">
        <v>372</v>
      </c>
      <c r="C374" s="8" t="s">
        <v>25</v>
      </c>
      <c r="D374" s="12" t="str">
        <f t="shared" si="20"/>
        <v>护理</v>
      </c>
      <c r="E374" s="9" t="str">
        <f>"2018013116"</f>
        <v>2018013116</v>
      </c>
      <c r="F374" s="9">
        <v>55.5</v>
      </c>
      <c r="G374" s="9">
        <v>86</v>
      </c>
      <c r="H374" s="9">
        <f t="shared" si="21"/>
        <v>76.849999999999994</v>
      </c>
      <c r="I374" s="9"/>
    </row>
    <row r="375" spans="1:9" ht="18.75" customHeight="1">
      <c r="A375" s="3" t="str">
        <f>"10522018030213411083146"</f>
        <v>10522018030213411083146</v>
      </c>
      <c r="B375" s="25">
        <v>373</v>
      </c>
      <c r="C375" s="8" t="s">
        <v>25</v>
      </c>
      <c r="D375" s="12" t="str">
        <f t="shared" si="20"/>
        <v>护理</v>
      </c>
      <c r="E375" s="9" t="str">
        <f>"2018012927"</f>
        <v>2018012927</v>
      </c>
      <c r="F375" s="9">
        <v>45</v>
      </c>
      <c r="G375" s="9">
        <v>90</v>
      </c>
      <c r="H375" s="9">
        <f t="shared" si="21"/>
        <v>76.5</v>
      </c>
      <c r="I375" s="9"/>
    </row>
    <row r="376" spans="1:9" ht="18.75" customHeight="1">
      <c r="A376" s="3" t="str">
        <f>"10522018022619180682028"</f>
        <v>10522018022619180682028</v>
      </c>
      <c r="B376" s="25">
        <v>374</v>
      </c>
      <c r="C376" s="8" t="s">
        <v>25</v>
      </c>
      <c r="D376" s="12" t="str">
        <f t="shared" si="20"/>
        <v>护理</v>
      </c>
      <c r="E376" s="9" t="str">
        <f>"2018013215"</f>
        <v>2018013215</v>
      </c>
      <c r="F376" s="9">
        <v>42.5</v>
      </c>
      <c r="G376" s="9">
        <v>91</v>
      </c>
      <c r="H376" s="9">
        <f t="shared" si="21"/>
        <v>76.449999999999989</v>
      </c>
      <c r="I376" s="9"/>
    </row>
    <row r="377" spans="1:9" ht="18.75" customHeight="1">
      <c r="A377" s="3" t="str">
        <f>"10522018030200350283058"</f>
        <v>10522018030200350283058</v>
      </c>
      <c r="B377" s="25">
        <v>375</v>
      </c>
      <c r="C377" s="8" t="s">
        <v>25</v>
      </c>
      <c r="D377" s="12" t="str">
        <f t="shared" si="20"/>
        <v>护理</v>
      </c>
      <c r="E377" s="9" t="str">
        <f>"2018012725"</f>
        <v>2018012725</v>
      </c>
      <c r="F377" s="9">
        <v>47</v>
      </c>
      <c r="G377" s="9">
        <v>89</v>
      </c>
      <c r="H377" s="9">
        <f t="shared" si="21"/>
        <v>76.399999999999991</v>
      </c>
      <c r="I377" s="9"/>
    </row>
    <row r="378" spans="1:9" ht="18.75" customHeight="1">
      <c r="A378" s="3" t="str">
        <f>"10522018022812104882558"</f>
        <v>10522018022812104882558</v>
      </c>
      <c r="B378" s="25">
        <v>376</v>
      </c>
      <c r="C378" s="8" t="s">
        <v>25</v>
      </c>
      <c r="D378" s="12" t="str">
        <f t="shared" si="20"/>
        <v>护理</v>
      </c>
      <c r="E378" s="9" t="str">
        <f>"2018012908"</f>
        <v>2018012908</v>
      </c>
      <c r="F378" s="9">
        <v>47</v>
      </c>
      <c r="G378" s="9">
        <v>89</v>
      </c>
      <c r="H378" s="9">
        <f t="shared" si="21"/>
        <v>76.399999999999991</v>
      </c>
      <c r="I378" s="9"/>
    </row>
    <row r="379" spans="1:9" ht="18.75" customHeight="1">
      <c r="A379" s="3" t="str">
        <f>"10522018022610404681695"</f>
        <v>10522018022610404681695</v>
      </c>
      <c r="B379" s="25">
        <v>377</v>
      </c>
      <c r="C379" s="8" t="s">
        <v>25</v>
      </c>
      <c r="D379" s="12" t="str">
        <f t="shared" si="20"/>
        <v>护理</v>
      </c>
      <c r="E379" s="9" t="str">
        <f>"2018013111"</f>
        <v>2018013111</v>
      </c>
      <c r="F379" s="9">
        <v>40</v>
      </c>
      <c r="G379" s="9">
        <v>92</v>
      </c>
      <c r="H379" s="9">
        <f t="shared" si="21"/>
        <v>76.399999999999991</v>
      </c>
      <c r="I379" s="9"/>
    </row>
    <row r="380" spans="1:9" ht="18.75" customHeight="1">
      <c r="A380" s="3" t="str">
        <f>"10522018022610394281694"</f>
        <v>10522018022610394281694</v>
      </c>
      <c r="B380" s="25">
        <v>378</v>
      </c>
      <c r="C380" s="8" t="s">
        <v>25</v>
      </c>
      <c r="D380" s="12" t="str">
        <f t="shared" si="20"/>
        <v>护理</v>
      </c>
      <c r="E380" s="9" t="str">
        <f>"2018012609"</f>
        <v>2018012609</v>
      </c>
      <c r="F380" s="9">
        <v>32.5</v>
      </c>
      <c r="G380" s="9">
        <v>95</v>
      </c>
      <c r="H380" s="9">
        <f t="shared" si="21"/>
        <v>76.25</v>
      </c>
      <c r="I380" s="9"/>
    </row>
    <row r="381" spans="1:9" ht="18.75" customHeight="1">
      <c r="A381" s="3" t="str">
        <f>"10522018022701451882119"</f>
        <v>10522018022701451882119</v>
      </c>
      <c r="B381" s="25">
        <v>379</v>
      </c>
      <c r="C381" s="8" t="s">
        <v>25</v>
      </c>
      <c r="D381" s="12" t="str">
        <f t="shared" si="20"/>
        <v>护理</v>
      </c>
      <c r="E381" s="9" t="str">
        <f>"2018012822"</f>
        <v>2018012822</v>
      </c>
      <c r="F381" s="9">
        <v>53.5</v>
      </c>
      <c r="G381" s="9">
        <v>86</v>
      </c>
      <c r="H381" s="9">
        <f t="shared" si="21"/>
        <v>76.25</v>
      </c>
      <c r="I381" s="9"/>
    </row>
    <row r="382" spans="1:9" ht="18.75" customHeight="1">
      <c r="A382" s="3" t="str">
        <f>"10522018022609313781615"</f>
        <v>10522018022609313781615</v>
      </c>
      <c r="B382" s="25">
        <v>380</v>
      </c>
      <c r="C382" s="8" t="s">
        <v>25</v>
      </c>
      <c r="D382" s="12" t="str">
        <f t="shared" si="20"/>
        <v>护理</v>
      </c>
      <c r="E382" s="9" t="str">
        <f>"2018012716"</f>
        <v>2018012716</v>
      </c>
      <c r="F382" s="9">
        <v>43.5</v>
      </c>
      <c r="G382" s="9">
        <v>90</v>
      </c>
      <c r="H382" s="9">
        <f t="shared" si="21"/>
        <v>76.05</v>
      </c>
      <c r="I382" s="9"/>
    </row>
    <row r="383" spans="1:9" ht="18.75" customHeight="1">
      <c r="A383" s="3" t="str">
        <f>"10522018022623240582114"</f>
        <v>10522018022623240582114</v>
      </c>
      <c r="B383" s="25">
        <v>381</v>
      </c>
      <c r="C383" s="8" t="s">
        <v>25</v>
      </c>
      <c r="D383" s="12" t="str">
        <f t="shared" si="20"/>
        <v>护理</v>
      </c>
      <c r="E383" s="9" t="str">
        <f>"2018012902"</f>
        <v>2018012902</v>
      </c>
      <c r="F383" s="9">
        <v>41</v>
      </c>
      <c r="G383" s="9">
        <v>91</v>
      </c>
      <c r="H383" s="9">
        <f t="shared" si="21"/>
        <v>76</v>
      </c>
      <c r="I383" s="9"/>
    </row>
    <row r="384" spans="1:9" ht="18.75" customHeight="1">
      <c r="A384" s="3" t="str">
        <f>"10522018022710085982164"</f>
        <v>10522018022710085982164</v>
      </c>
      <c r="B384" s="25">
        <v>382</v>
      </c>
      <c r="C384" s="8" t="s">
        <v>25</v>
      </c>
      <c r="D384" s="12" t="str">
        <f t="shared" si="20"/>
        <v>护理</v>
      </c>
      <c r="E384" s="9" t="str">
        <f>"2018013226"</f>
        <v>2018013226</v>
      </c>
      <c r="F384" s="9">
        <v>34</v>
      </c>
      <c r="G384" s="9">
        <v>94</v>
      </c>
      <c r="H384" s="9">
        <f t="shared" si="21"/>
        <v>76</v>
      </c>
      <c r="I384" s="9"/>
    </row>
    <row r="385" spans="1:9" ht="18.75" customHeight="1">
      <c r="A385" s="3" t="str">
        <f>"10522018022616423781964"</f>
        <v>10522018022616423781964</v>
      </c>
      <c r="B385" s="25">
        <v>383</v>
      </c>
      <c r="C385" s="8" t="s">
        <v>25</v>
      </c>
      <c r="D385" s="12" t="str">
        <f t="shared" si="20"/>
        <v>护理</v>
      </c>
      <c r="E385" s="9" t="str">
        <f>"2018013203"</f>
        <v>2018013203</v>
      </c>
      <c r="F385" s="9">
        <v>45</v>
      </c>
      <c r="G385" s="9">
        <v>89</v>
      </c>
      <c r="H385" s="9">
        <f t="shared" si="21"/>
        <v>75.8</v>
      </c>
      <c r="I385" s="9"/>
    </row>
    <row r="386" spans="1:9" ht="18.75" customHeight="1">
      <c r="A386" s="3" t="str">
        <f>"10522018022811072682534"</f>
        <v>10522018022811072682534</v>
      </c>
      <c r="B386" s="25">
        <v>384</v>
      </c>
      <c r="C386" s="8" t="s">
        <v>25</v>
      </c>
      <c r="D386" s="12" t="str">
        <f t="shared" si="20"/>
        <v>护理</v>
      </c>
      <c r="E386" s="9" t="str">
        <f>"2018012420"</f>
        <v>2018012420</v>
      </c>
      <c r="F386" s="9">
        <v>47</v>
      </c>
      <c r="G386" s="9">
        <v>88</v>
      </c>
      <c r="H386" s="9">
        <f t="shared" si="21"/>
        <v>75.699999999999989</v>
      </c>
      <c r="I386" s="9"/>
    </row>
    <row r="387" spans="1:9" ht="18.75" customHeight="1">
      <c r="A387" s="3" t="str">
        <f>"10522018030100040982775"</f>
        <v>10522018030100040982775</v>
      </c>
      <c r="B387" s="25">
        <v>385</v>
      </c>
      <c r="C387" s="8" t="s">
        <v>25</v>
      </c>
      <c r="D387" s="12" t="str">
        <f t="shared" si="20"/>
        <v>护理</v>
      </c>
      <c r="E387" s="9" t="str">
        <f>"2018012721"</f>
        <v>2018012721</v>
      </c>
      <c r="F387" s="9">
        <v>40</v>
      </c>
      <c r="G387" s="9">
        <v>91</v>
      </c>
      <c r="H387" s="9">
        <f t="shared" si="21"/>
        <v>75.699999999999989</v>
      </c>
      <c r="I387" s="9"/>
    </row>
    <row r="388" spans="1:9" ht="18.75" customHeight="1">
      <c r="A388" s="3" t="str">
        <f>"10522018030121475783037"</f>
        <v>10522018030121475783037</v>
      </c>
      <c r="B388" s="25">
        <v>386</v>
      </c>
      <c r="C388" s="8" t="s">
        <v>25</v>
      </c>
      <c r="D388" s="12" t="str">
        <f t="shared" ref="D388:D419" si="22">"护理"</f>
        <v>护理</v>
      </c>
      <c r="E388" s="9" t="str">
        <f>"2018012515"</f>
        <v>2018012515</v>
      </c>
      <c r="F388" s="9">
        <v>37.5</v>
      </c>
      <c r="G388" s="9">
        <v>92</v>
      </c>
      <c r="H388" s="9">
        <f t="shared" si="21"/>
        <v>75.649999999999991</v>
      </c>
      <c r="I388" s="9"/>
    </row>
    <row r="389" spans="1:9" ht="18.75" customHeight="1">
      <c r="A389" s="3" t="str">
        <f>"10522018030116360482959"</f>
        <v>10522018030116360482959</v>
      </c>
      <c r="B389" s="25">
        <v>387</v>
      </c>
      <c r="C389" s="8" t="s">
        <v>25</v>
      </c>
      <c r="D389" s="12" t="str">
        <f t="shared" si="22"/>
        <v>护理</v>
      </c>
      <c r="E389" s="9" t="str">
        <f>"2018013108"</f>
        <v>2018013108</v>
      </c>
      <c r="F389" s="9">
        <v>56</v>
      </c>
      <c r="G389" s="9">
        <v>84</v>
      </c>
      <c r="H389" s="9">
        <f t="shared" si="21"/>
        <v>75.599999999999994</v>
      </c>
      <c r="I389" s="9"/>
    </row>
    <row r="390" spans="1:9" ht="18.75" customHeight="1">
      <c r="A390" s="3" t="str">
        <f>"10522018022816080482646"</f>
        <v>10522018022816080482646</v>
      </c>
      <c r="B390" s="25">
        <v>388</v>
      </c>
      <c r="C390" s="8" t="s">
        <v>25</v>
      </c>
      <c r="D390" s="12" t="str">
        <f t="shared" si="22"/>
        <v>护理</v>
      </c>
      <c r="E390" s="9" t="str">
        <f>"2018012427"</f>
        <v>2018012427</v>
      </c>
      <c r="F390" s="9">
        <v>34.5</v>
      </c>
      <c r="G390" s="9">
        <v>93</v>
      </c>
      <c r="H390" s="9">
        <f t="shared" si="21"/>
        <v>75.449999999999989</v>
      </c>
      <c r="I390" s="9"/>
    </row>
    <row r="391" spans="1:9" ht="18.75" customHeight="1">
      <c r="A391" s="3" t="str">
        <f>"10522018022618410882018"</f>
        <v>10522018022618410882018</v>
      </c>
      <c r="B391" s="25">
        <v>389</v>
      </c>
      <c r="C391" s="8" t="s">
        <v>25</v>
      </c>
      <c r="D391" s="12" t="str">
        <f t="shared" si="22"/>
        <v>护理</v>
      </c>
      <c r="E391" s="9" t="str">
        <f>"2018012430"</f>
        <v>2018012430</v>
      </c>
      <c r="F391" s="9">
        <v>32</v>
      </c>
      <c r="G391" s="9">
        <v>94</v>
      </c>
      <c r="H391" s="9">
        <f t="shared" si="21"/>
        <v>75.399999999999991</v>
      </c>
      <c r="I391" s="9"/>
    </row>
    <row r="392" spans="1:9" ht="18.75" customHeight="1">
      <c r="A392" s="3" t="str">
        <f>"10522018030109235182804"</f>
        <v>10522018030109235182804</v>
      </c>
      <c r="B392" s="25">
        <v>390</v>
      </c>
      <c r="C392" s="8" t="s">
        <v>25</v>
      </c>
      <c r="D392" s="12" t="str">
        <f t="shared" si="22"/>
        <v>护理</v>
      </c>
      <c r="E392" s="9" t="str">
        <f>"2018012616"</f>
        <v>2018012616</v>
      </c>
      <c r="F392" s="9">
        <v>48</v>
      </c>
      <c r="G392" s="9">
        <v>87</v>
      </c>
      <c r="H392" s="9">
        <f t="shared" si="21"/>
        <v>75.3</v>
      </c>
      <c r="I392" s="9"/>
    </row>
    <row r="393" spans="1:9" ht="18.75" customHeight="1">
      <c r="A393" s="3" t="str">
        <f>"10522018022611210781754"</f>
        <v>10522018022611210781754</v>
      </c>
      <c r="B393" s="25">
        <v>391</v>
      </c>
      <c r="C393" s="8" t="s">
        <v>25</v>
      </c>
      <c r="D393" s="12" t="str">
        <f t="shared" si="22"/>
        <v>护理</v>
      </c>
      <c r="E393" s="9" t="str">
        <f>"2018013127"</f>
        <v>2018013127</v>
      </c>
      <c r="F393" s="9">
        <v>41</v>
      </c>
      <c r="G393" s="9">
        <v>90</v>
      </c>
      <c r="H393" s="9">
        <f t="shared" si="21"/>
        <v>75.3</v>
      </c>
      <c r="I393" s="9"/>
    </row>
    <row r="394" spans="1:9" ht="18.75" customHeight="1">
      <c r="A394" s="3" t="str">
        <f>"10522018030207564883066"</f>
        <v>10522018030207564883066</v>
      </c>
      <c r="B394" s="25">
        <v>392</v>
      </c>
      <c r="C394" s="8" t="s">
        <v>25</v>
      </c>
      <c r="D394" s="12" t="str">
        <f t="shared" si="22"/>
        <v>护理</v>
      </c>
      <c r="E394" s="9" t="str">
        <f>"2018012417"</f>
        <v>2018012417</v>
      </c>
      <c r="F394" s="9">
        <v>27</v>
      </c>
      <c r="G394" s="9">
        <v>96</v>
      </c>
      <c r="H394" s="9">
        <f t="shared" si="21"/>
        <v>75.299999999999983</v>
      </c>
      <c r="I394" s="9"/>
    </row>
    <row r="395" spans="1:9" ht="18.75" customHeight="1">
      <c r="A395" s="3" t="str">
        <f>"10522018022814562482624"</f>
        <v>10522018022814562482624</v>
      </c>
      <c r="B395" s="25">
        <v>393</v>
      </c>
      <c r="C395" s="8" t="s">
        <v>25</v>
      </c>
      <c r="D395" s="12" t="str">
        <f t="shared" si="22"/>
        <v>护理</v>
      </c>
      <c r="E395" s="9" t="str">
        <f>"2018012524"</f>
        <v>2018012524</v>
      </c>
      <c r="F395" s="9">
        <v>52.5</v>
      </c>
      <c r="G395" s="9">
        <v>85</v>
      </c>
      <c r="H395" s="9">
        <f t="shared" si="21"/>
        <v>75.25</v>
      </c>
      <c r="I395" s="9"/>
    </row>
    <row r="396" spans="1:9" ht="18.75" customHeight="1">
      <c r="A396" s="3" t="str">
        <f>"10522018030117574782979"</f>
        <v>10522018030117574782979</v>
      </c>
      <c r="B396" s="25">
        <v>394</v>
      </c>
      <c r="C396" s="8" t="s">
        <v>25</v>
      </c>
      <c r="D396" s="12" t="str">
        <f t="shared" si="22"/>
        <v>护理</v>
      </c>
      <c r="E396" s="9" t="str">
        <f>"2018012410"</f>
        <v>2018012410</v>
      </c>
      <c r="F396" s="9">
        <v>40</v>
      </c>
      <c r="G396" s="9">
        <v>90</v>
      </c>
      <c r="H396" s="9">
        <f t="shared" si="21"/>
        <v>75</v>
      </c>
      <c r="I396" s="9"/>
    </row>
    <row r="397" spans="1:9" ht="18.75" customHeight="1">
      <c r="A397" s="3" t="str">
        <f>"10522018030209481583094"</f>
        <v>10522018030209481583094</v>
      </c>
      <c r="B397" s="25">
        <v>395</v>
      </c>
      <c r="C397" s="8" t="s">
        <v>25</v>
      </c>
      <c r="D397" s="12" t="str">
        <f t="shared" si="22"/>
        <v>护理</v>
      </c>
      <c r="E397" s="9" t="str">
        <f>"2018012502"</f>
        <v>2018012502</v>
      </c>
      <c r="F397" s="9">
        <v>42</v>
      </c>
      <c r="G397" s="9">
        <v>89</v>
      </c>
      <c r="H397" s="9">
        <f t="shared" si="21"/>
        <v>74.899999999999991</v>
      </c>
      <c r="I397" s="9"/>
    </row>
    <row r="398" spans="1:9" ht="18.75" customHeight="1">
      <c r="A398" s="3" t="str">
        <f>"10522018030111325982848"</f>
        <v>10522018030111325982848</v>
      </c>
      <c r="B398" s="25">
        <v>396</v>
      </c>
      <c r="C398" s="8" t="s">
        <v>25</v>
      </c>
      <c r="D398" s="12" t="str">
        <f t="shared" si="22"/>
        <v>护理</v>
      </c>
      <c r="E398" s="9" t="str">
        <f>"2018013124"</f>
        <v>2018013124</v>
      </c>
      <c r="F398" s="9">
        <v>46.5</v>
      </c>
      <c r="G398" s="9">
        <v>87</v>
      </c>
      <c r="H398" s="9">
        <f t="shared" si="21"/>
        <v>74.849999999999994</v>
      </c>
      <c r="I398" s="9"/>
    </row>
    <row r="399" spans="1:9" ht="18.75" customHeight="1">
      <c r="A399" s="3" t="str">
        <f>"10522018022808544182471"</f>
        <v>10522018022808544182471</v>
      </c>
      <c r="B399" s="25">
        <v>397</v>
      </c>
      <c r="C399" s="8" t="s">
        <v>25</v>
      </c>
      <c r="D399" s="12" t="str">
        <f t="shared" si="22"/>
        <v>护理</v>
      </c>
      <c r="E399" s="9" t="str">
        <f>"2018012808"</f>
        <v>2018012808</v>
      </c>
      <c r="F399" s="9">
        <v>30</v>
      </c>
      <c r="G399" s="9">
        <v>94</v>
      </c>
      <c r="H399" s="9">
        <f t="shared" si="21"/>
        <v>74.8</v>
      </c>
      <c r="I399" s="9"/>
    </row>
    <row r="400" spans="1:9" ht="18.75" customHeight="1">
      <c r="A400" s="3" t="str">
        <f>"10522018022621253182087"</f>
        <v>10522018022621253182087</v>
      </c>
      <c r="B400" s="25">
        <v>398</v>
      </c>
      <c r="C400" s="8" t="s">
        <v>25</v>
      </c>
      <c r="D400" s="12" t="str">
        <f t="shared" si="22"/>
        <v>护理</v>
      </c>
      <c r="E400" s="9" t="str">
        <f>"2018013027"</f>
        <v>2018013027</v>
      </c>
      <c r="F400" s="9">
        <v>32</v>
      </c>
      <c r="G400" s="9">
        <v>93</v>
      </c>
      <c r="H400" s="9">
        <f t="shared" si="21"/>
        <v>74.699999999999989</v>
      </c>
      <c r="I400" s="9"/>
    </row>
    <row r="401" spans="1:9" ht="18.75" customHeight="1">
      <c r="A401" s="3" t="str">
        <f>"10522018022611374181765"</f>
        <v>10522018022611374181765</v>
      </c>
      <c r="B401" s="25">
        <v>399</v>
      </c>
      <c r="C401" s="8" t="s">
        <v>25</v>
      </c>
      <c r="D401" s="12" t="str">
        <f t="shared" si="22"/>
        <v>护理</v>
      </c>
      <c r="E401" s="9" t="str">
        <f>"2018013822"</f>
        <v>2018013822</v>
      </c>
      <c r="F401" s="9">
        <v>41</v>
      </c>
      <c r="G401" s="9">
        <v>89</v>
      </c>
      <c r="H401" s="9">
        <f t="shared" si="21"/>
        <v>74.599999999999994</v>
      </c>
      <c r="I401" s="9"/>
    </row>
    <row r="402" spans="1:9" ht="18.75" customHeight="1">
      <c r="A402" s="3" t="str">
        <f>"10522018022810122782503"</f>
        <v>10522018022810122782503</v>
      </c>
      <c r="B402" s="25">
        <v>400</v>
      </c>
      <c r="C402" s="8" t="s">
        <v>25</v>
      </c>
      <c r="D402" s="12" t="str">
        <f t="shared" si="22"/>
        <v>护理</v>
      </c>
      <c r="E402" s="9" t="str">
        <f>"2018012810"</f>
        <v>2018012810</v>
      </c>
      <c r="F402" s="9">
        <v>31.5</v>
      </c>
      <c r="G402" s="9">
        <v>93</v>
      </c>
      <c r="H402" s="9">
        <f t="shared" si="21"/>
        <v>74.55</v>
      </c>
      <c r="I402" s="9"/>
    </row>
    <row r="403" spans="1:9" ht="18.75" customHeight="1">
      <c r="A403" s="3" t="str">
        <f>"10522018022808401882467"</f>
        <v>10522018022808401882467</v>
      </c>
      <c r="B403" s="25">
        <v>401</v>
      </c>
      <c r="C403" s="8" t="s">
        <v>25</v>
      </c>
      <c r="D403" s="12" t="str">
        <f t="shared" si="22"/>
        <v>护理</v>
      </c>
      <c r="E403" s="9" t="str">
        <f>"2018013107"</f>
        <v>2018013107</v>
      </c>
      <c r="F403" s="9">
        <v>38</v>
      </c>
      <c r="G403" s="9">
        <v>90</v>
      </c>
      <c r="H403" s="9">
        <f t="shared" si="21"/>
        <v>74.399999999999991</v>
      </c>
      <c r="I403" s="9"/>
    </row>
    <row r="404" spans="1:9" ht="18.75" customHeight="1">
      <c r="A404" s="3" t="str">
        <f>"10522018022713432582240"</f>
        <v>10522018022713432582240</v>
      </c>
      <c r="B404" s="25">
        <v>402</v>
      </c>
      <c r="C404" s="8" t="s">
        <v>25</v>
      </c>
      <c r="D404" s="12" t="str">
        <f t="shared" si="22"/>
        <v>护理</v>
      </c>
      <c r="E404" s="9" t="str">
        <f>"2018013206"</f>
        <v>2018013206</v>
      </c>
      <c r="F404" s="9">
        <v>37</v>
      </c>
      <c r="G404" s="9">
        <v>90</v>
      </c>
      <c r="H404" s="9">
        <f t="shared" si="21"/>
        <v>74.099999999999994</v>
      </c>
      <c r="I404" s="9"/>
    </row>
    <row r="405" spans="1:9" ht="18.75" customHeight="1">
      <c r="A405" s="3" t="str">
        <f>"10522018022708270882128"</f>
        <v>10522018022708270882128</v>
      </c>
      <c r="B405" s="25">
        <v>403</v>
      </c>
      <c r="C405" s="8" t="s">
        <v>25</v>
      </c>
      <c r="D405" s="12" t="str">
        <f t="shared" si="22"/>
        <v>护理</v>
      </c>
      <c r="E405" s="9" t="str">
        <f>"2018013015"</f>
        <v>2018013015</v>
      </c>
      <c r="F405" s="9">
        <v>41.5</v>
      </c>
      <c r="G405" s="9">
        <v>88</v>
      </c>
      <c r="H405" s="9">
        <f t="shared" si="21"/>
        <v>74.05</v>
      </c>
      <c r="I405" s="9"/>
    </row>
    <row r="406" spans="1:9" ht="18.75" customHeight="1">
      <c r="A406" s="3" t="str">
        <f>"10522018022614005681866"</f>
        <v>10522018022614005681866</v>
      </c>
      <c r="B406" s="25">
        <v>404</v>
      </c>
      <c r="C406" s="8" t="s">
        <v>25</v>
      </c>
      <c r="D406" s="12" t="str">
        <f t="shared" si="22"/>
        <v>护理</v>
      </c>
      <c r="E406" s="9" t="str">
        <f>"2018012408"</f>
        <v>2018012408</v>
      </c>
      <c r="F406" s="9">
        <v>31.5</v>
      </c>
      <c r="G406" s="9">
        <v>92</v>
      </c>
      <c r="H406" s="9">
        <f t="shared" si="21"/>
        <v>73.849999999999994</v>
      </c>
      <c r="I406" s="9"/>
    </row>
    <row r="407" spans="1:9" ht="18.75" customHeight="1">
      <c r="A407" s="3" t="str">
        <f>"10522018022818321882685"</f>
        <v>10522018022818321882685</v>
      </c>
      <c r="B407" s="25">
        <v>405</v>
      </c>
      <c r="C407" s="8" t="s">
        <v>25</v>
      </c>
      <c r="D407" s="12" t="str">
        <f t="shared" si="22"/>
        <v>护理</v>
      </c>
      <c r="E407" s="9" t="str">
        <f>"2018012625"</f>
        <v>2018012625</v>
      </c>
      <c r="F407" s="9">
        <v>36</v>
      </c>
      <c r="G407" s="9">
        <v>90</v>
      </c>
      <c r="H407" s="9">
        <f t="shared" si="21"/>
        <v>73.8</v>
      </c>
      <c r="I407" s="9"/>
    </row>
    <row r="408" spans="1:9" ht="18.75" customHeight="1">
      <c r="A408" s="3" t="str">
        <f>"10522018022719311882367"</f>
        <v>10522018022719311882367</v>
      </c>
      <c r="B408" s="25">
        <v>406</v>
      </c>
      <c r="C408" s="8" t="s">
        <v>25</v>
      </c>
      <c r="D408" s="12" t="str">
        <f t="shared" si="22"/>
        <v>护理</v>
      </c>
      <c r="E408" s="9" t="str">
        <f>"2018013011"</f>
        <v>2018013011</v>
      </c>
      <c r="F408" s="9">
        <v>36</v>
      </c>
      <c r="G408" s="9">
        <v>90</v>
      </c>
      <c r="H408" s="9">
        <f t="shared" si="21"/>
        <v>73.8</v>
      </c>
      <c r="I408" s="9"/>
    </row>
    <row r="409" spans="1:9" ht="18.75" customHeight="1">
      <c r="A409" s="3" t="str">
        <f>"10522018022609054681571"</f>
        <v>10522018022609054681571</v>
      </c>
      <c r="B409" s="25">
        <v>407</v>
      </c>
      <c r="C409" s="16" t="s">
        <v>36</v>
      </c>
      <c r="D409" s="18" t="str">
        <f t="shared" si="22"/>
        <v>护理</v>
      </c>
      <c r="E409" s="17" t="str">
        <f>"2018012814"</f>
        <v>2018012814</v>
      </c>
      <c r="F409" s="17">
        <v>38</v>
      </c>
      <c r="G409" s="17">
        <v>89</v>
      </c>
      <c r="H409" s="17">
        <f t="shared" si="21"/>
        <v>73.7</v>
      </c>
      <c r="I409" s="17"/>
    </row>
    <row r="410" spans="1:9" ht="18.75" customHeight="1">
      <c r="A410" s="3" t="str">
        <f>"10522018022811154882538"</f>
        <v>10522018022811154882538</v>
      </c>
      <c r="B410" s="25">
        <v>408</v>
      </c>
      <c r="C410" s="16" t="s">
        <v>36</v>
      </c>
      <c r="D410" s="18" t="str">
        <f t="shared" si="22"/>
        <v>护理</v>
      </c>
      <c r="E410" s="17" t="str">
        <f>"2018012727"</f>
        <v>2018012727</v>
      </c>
      <c r="F410" s="17">
        <v>35</v>
      </c>
      <c r="G410" s="17">
        <v>90</v>
      </c>
      <c r="H410" s="17">
        <f t="shared" si="21"/>
        <v>73.5</v>
      </c>
      <c r="I410" s="17"/>
    </row>
    <row r="411" spans="1:9" s="20" customFormat="1" ht="18.75" customHeight="1">
      <c r="A411" s="19" t="str">
        <f>"10522018022709452182154"</f>
        <v>10522018022709452182154</v>
      </c>
      <c r="B411" s="25">
        <v>409</v>
      </c>
      <c r="C411" s="16" t="s">
        <v>36</v>
      </c>
      <c r="D411" s="18" t="str">
        <f t="shared" si="22"/>
        <v>护理</v>
      </c>
      <c r="E411" s="17" t="str">
        <f>"2018013225"</f>
        <v>2018013225</v>
      </c>
      <c r="F411" s="17">
        <v>42</v>
      </c>
      <c r="G411" s="17">
        <v>87</v>
      </c>
      <c r="H411" s="17">
        <f t="shared" si="21"/>
        <v>73.5</v>
      </c>
      <c r="I411" s="17"/>
    </row>
    <row r="412" spans="1:9" ht="18.75" customHeight="1">
      <c r="A412" s="3" t="str">
        <f>"10522018022611335781763"</f>
        <v>10522018022611335781763</v>
      </c>
      <c r="B412" s="25">
        <v>410</v>
      </c>
      <c r="C412" s="16" t="s">
        <v>36</v>
      </c>
      <c r="D412" s="18" t="str">
        <f t="shared" si="22"/>
        <v>护理</v>
      </c>
      <c r="E412" s="17" t="str">
        <f>"2018012621"</f>
        <v>2018012621</v>
      </c>
      <c r="F412" s="17">
        <v>36.5</v>
      </c>
      <c r="G412" s="17">
        <v>89</v>
      </c>
      <c r="H412" s="17">
        <f t="shared" si="21"/>
        <v>73.25</v>
      </c>
      <c r="I412" s="17"/>
    </row>
    <row r="413" spans="1:9" ht="18.75" customHeight="1">
      <c r="A413" s="3" t="str">
        <f>"10522018022609385781622"</f>
        <v>10522018022609385781622</v>
      </c>
      <c r="B413" s="25">
        <v>411</v>
      </c>
      <c r="C413" s="16" t="s">
        <v>36</v>
      </c>
      <c r="D413" s="18" t="str">
        <f t="shared" si="22"/>
        <v>护理</v>
      </c>
      <c r="E413" s="17" t="str">
        <f>"2018012913"</f>
        <v>2018012913</v>
      </c>
      <c r="F413" s="17">
        <v>29.5</v>
      </c>
      <c r="G413" s="17">
        <v>92</v>
      </c>
      <c r="H413" s="17">
        <f t="shared" si="21"/>
        <v>73.249999999999986</v>
      </c>
      <c r="I413" s="17"/>
    </row>
    <row r="414" spans="1:9" ht="18.75" customHeight="1">
      <c r="A414" s="3" t="str">
        <f>"10522018022611070381736"</f>
        <v>10522018022611070381736</v>
      </c>
      <c r="B414" s="25">
        <v>412</v>
      </c>
      <c r="C414" s="16" t="s">
        <v>36</v>
      </c>
      <c r="D414" s="18" t="str">
        <f t="shared" si="22"/>
        <v>护理</v>
      </c>
      <c r="E414" s="17" t="str">
        <f>"2018012929"</f>
        <v>2018012929</v>
      </c>
      <c r="F414" s="17">
        <v>50</v>
      </c>
      <c r="G414" s="17">
        <v>83</v>
      </c>
      <c r="H414" s="17">
        <f t="shared" si="21"/>
        <v>73.099999999999994</v>
      </c>
      <c r="I414" s="17"/>
    </row>
    <row r="415" spans="1:9" ht="18.75" customHeight="1">
      <c r="A415" s="3" t="str">
        <f>"10522018030211075583109"</f>
        <v>10522018030211075583109</v>
      </c>
      <c r="B415" s="25">
        <v>413</v>
      </c>
      <c r="C415" s="16" t="s">
        <v>36</v>
      </c>
      <c r="D415" s="18" t="str">
        <f t="shared" si="22"/>
        <v>护理</v>
      </c>
      <c r="E415" s="17" t="str">
        <f>"2018013102"</f>
        <v>2018013102</v>
      </c>
      <c r="F415" s="17">
        <v>50</v>
      </c>
      <c r="G415" s="17">
        <v>83</v>
      </c>
      <c r="H415" s="17">
        <f t="shared" si="21"/>
        <v>73.099999999999994</v>
      </c>
      <c r="I415" s="17"/>
    </row>
    <row r="416" spans="1:9" ht="18.75" customHeight="1">
      <c r="A416" s="3" t="str">
        <f>"10522018022719090082357"</f>
        <v>10522018022719090082357</v>
      </c>
      <c r="B416" s="25">
        <v>414</v>
      </c>
      <c r="C416" s="16" t="s">
        <v>36</v>
      </c>
      <c r="D416" s="18" t="str">
        <f t="shared" si="22"/>
        <v>护理</v>
      </c>
      <c r="E416" s="17" t="str">
        <f>"2018012624"</f>
        <v>2018012624</v>
      </c>
      <c r="F416" s="17">
        <v>49.5</v>
      </c>
      <c r="G416" s="17">
        <v>83</v>
      </c>
      <c r="H416" s="17">
        <f t="shared" si="21"/>
        <v>72.949999999999989</v>
      </c>
      <c r="I416" s="17"/>
    </row>
    <row r="417" spans="1:9" ht="18.75" customHeight="1">
      <c r="A417" s="3" t="str">
        <f>"10522018022621463282095"</f>
        <v>10522018022621463282095</v>
      </c>
      <c r="B417" s="25">
        <v>415</v>
      </c>
      <c r="C417" s="16" t="s">
        <v>36</v>
      </c>
      <c r="D417" s="18" t="str">
        <f t="shared" si="22"/>
        <v>护理</v>
      </c>
      <c r="E417" s="17" t="str">
        <f>"2018013019"</f>
        <v>2018013019</v>
      </c>
      <c r="F417" s="17">
        <v>28.5</v>
      </c>
      <c r="G417" s="17">
        <v>92</v>
      </c>
      <c r="H417" s="17">
        <f t="shared" si="21"/>
        <v>72.949999999999989</v>
      </c>
      <c r="I417" s="21"/>
    </row>
    <row r="418" spans="1:9" ht="18.75" customHeight="1">
      <c r="A418" s="3" t="str">
        <f>"10522018030120201783014"</f>
        <v>10522018030120201783014</v>
      </c>
      <c r="B418" s="25">
        <v>416</v>
      </c>
      <c r="C418" s="8" t="s">
        <v>26</v>
      </c>
      <c r="D418" s="12" t="str">
        <f t="shared" si="22"/>
        <v>护理</v>
      </c>
      <c r="E418" s="9" t="str">
        <f>"2018013827"</f>
        <v>2018013827</v>
      </c>
      <c r="F418" s="9">
        <v>29</v>
      </c>
      <c r="G418" s="9">
        <v>85</v>
      </c>
      <c r="H418" s="9">
        <f t="shared" si="21"/>
        <v>68.199999999999989</v>
      </c>
      <c r="I418" s="9"/>
    </row>
    <row r="419" spans="1:9" ht="18.75" customHeight="1">
      <c r="A419" s="3" t="str">
        <f>"10522018022819283382710"</f>
        <v>10522018022819283382710</v>
      </c>
      <c r="B419" s="25">
        <v>417</v>
      </c>
      <c r="C419" s="8" t="s">
        <v>26</v>
      </c>
      <c r="D419" s="12" t="str">
        <f t="shared" si="22"/>
        <v>护理</v>
      </c>
      <c r="E419" s="9" t="str">
        <f>"2018013826"</f>
        <v>2018013826</v>
      </c>
      <c r="F419" s="9">
        <v>36.5</v>
      </c>
      <c r="G419" s="9">
        <v>75</v>
      </c>
      <c r="H419" s="9">
        <f t="shared" si="21"/>
        <v>63.45</v>
      </c>
      <c r="I419" s="9"/>
    </row>
    <row r="420" spans="1:9" ht="18.75" customHeight="1">
      <c r="A420" s="3" t="str">
        <f>"10522018022812415082566"</f>
        <v>10522018022812415082566</v>
      </c>
      <c r="B420" s="25">
        <v>418</v>
      </c>
      <c r="C420" s="8" t="s">
        <v>27</v>
      </c>
      <c r="D420" s="12" t="str">
        <f t="shared" ref="D420:D429" si="23">"助产"</f>
        <v>助产</v>
      </c>
      <c r="E420" s="9" t="str">
        <f>"2018014003"</f>
        <v>2018014003</v>
      </c>
      <c r="F420" s="9">
        <v>48</v>
      </c>
      <c r="G420" s="9">
        <v>97</v>
      </c>
      <c r="H420" s="9">
        <f t="shared" si="21"/>
        <v>82.299999999999983</v>
      </c>
      <c r="I420" s="9"/>
    </row>
    <row r="421" spans="1:9" ht="18.75" customHeight="1">
      <c r="A421" s="3" t="str">
        <f>"10522018030212081183122"</f>
        <v>10522018030212081183122</v>
      </c>
      <c r="B421" s="25">
        <v>419</v>
      </c>
      <c r="C421" s="8" t="s">
        <v>27</v>
      </c>
      <c r="D421" s="12" t="str">
        <f t="shared" si="23"/>
        <v>助产</v>
      </c>
      <c r="E421" s="9" t="str">
        <f>"2018014002"</f>
        <v>2018014002</v>
      </c>
      <c r="F421" s="9">
        <v>41.5</v>
      </c>
      <c r="G421" s="9">
        <v>93</v>
      </c>
      <c r="H421" s="9">
        <f t="shared" si="21"/>
        <v>77.55</v>
      </c>
      <c r="I421" s="9"/>
    </row>
    <row r="422" spans="1:9" ht="18.75" customHeight="1">
      <c r="A422" s="3" t="str">
        <f>"10522018030209180083083"</f>
        <v>10522018030209180083083</v>
      </c>
      <c r="B422" s="25">
        <v>420</v>
      </c>
      <c r="C422" s="8" t="s">
        <v>27</v>
      </c>
      <c r="D422" s="12" t="str">
        <f t="shared" si="23"/>
        <v>助产</v>
      </c>
      <c r="E422" s="9" t="str">
        <f>"2018014001"</f>
        <v>2018014001</v>
      </c>
      <c r="F422" s="9">
        <v>46.5</v>
      </c>
      <c r="G422" s="9">
        <v>90</v>
      </c>
      <c r="H422" s="9">
        <f t="shared" si="21"/>
        <v>76.949999999999989</v>
      </c>
      <c r="I422" s="9"/>
    </row>
    <row r="423" spans="1:9" ht="18.75" customHeight="1">
      <c r="A423" s="3" t="str">
        <f>"10522018022710445882184"</f>
        <v>10522018022710445882184</v>
      </c>
      <c r="B423" s="25">
        <v>421</v>
      </c>
      <c r="C423" s="8" t="s">
        <v>27</v>
      </c>
      <c r="D423" s="12" t="str">
        <f t="shared" si="23"/>
        <v>助产</v>
      </c>
      <c r="E423" s="9" t="str">
        <f>"2018013526"</f>
        <v>2018013526</v>
      </c>
      <c r="F423" s="9">
        <v>66.5</v>
      </c>
      <c r="G423" s="9">
        <v>79</v>
      </c>
      <c r="H423" s="9">
        <f t="shared" si="21"/>
        <v>75.25</v>
      </c>
      <c r="I423" s="9"/>
    </row>
    <row r="424" spans="1:9" ht="18.75" customHeight="1">
      <c r="B424" s="25">
        <v>422</v>
      </c>
      <c r="C424" s="8" t="s">
        <v>27</v>
      </c>
      <c r="D424" s="12" t="str">
        <f t="shared" si="23"/>
        <v>助产</v>
      </c>
      <c r="E424" s="9" t="str">
        <f>"2018014005"</f>
        <v>2018014005</v>
      </c>
      <c r="F424" s="9">
        <v>61.5</v>
      </c>
      <c r="G424" s="9">
        <v>76</v>
      </c>
      <c r="H424" s="9">
        <f t="shared" si="21"/>
        <v>71.649999999999991</v>
      </c>
      <c r="I424" s="9"/>
    </row>
    <row r="425" spans="1:9" ht="18.75" customHeight="1">
      <c r="B425" s="25">
        <v>423</v>
      </c>
      <c r="C425" s="8" t="s">
        <v>27</v>
      </c>
      <c r="D425" s="12" t="str">
        <f t="shared" si="23"/>
        <v>助产</v>
      </c>
      <c r="E425" s="9" t="str">
        <f>"2018014010"</f>
        <v>2018014010</v>
      </c>
      <c r="F425" s="9">
        <v>45</v>
      </c>
      <c r="G425" s="9">
        <v>83</v>
      </c>
      <c r="H425" s="9">
        <f t="shared" si="21"/>
        <v>71.599999999999994</v>
      </c>
      <c r="I425" s="9"/>
    </row>
    <row r="426" spans="1:9" ht="18.75" customHeight="1">
      <c r="B426" s="25">
        <v>424</v>
      </c>
      <c r="C426" s="8" t="s">
        <v>27</v>
      </c>
      <c r="D426" s="12" t="str">
        <f t="shared" si="23"/>
        <v>助产</v>
      </c>
      <c r="E426" s="9" t="str">
        <f>"2018014006"</f>
        <v>2018014006</v>
      </c>
      <c r="F426" s="9">
        <v>50</v>
      </c>
      <c r="G426" s="9">
        <v>79</v>
      </c>
      <c r="H426" s="9">
        <f t="shared" si="21"/>
        <v>70.3</v>
      </c>
      <c r="I426" s="9"/>
    </row>
    <row r="427" spans="1:9" ht="18.75" customHeight="1">
      <c r="B427" s="25">
        <v>425</v>
      </c>
      <c r="C427" s="8" t="s">
        <v>27</v>
      </c>
      <c r="D427" s="12" t="str">
        <f t="shared" si="23"/>
        <v>助产</v>
      </c>
      <c r="E427" s="9" t="str">
        <f>"2018014013"</f>
        <v>2018014013</v>
      </c>
      <c r="F427" s="9">
        <v>66</v>
      </c>
      <c r="G427" s="9">
        <v>72</v>
      </c>
      <c r="H427" s="9">
        <f t="shared" si="21"/>
        <v>70.2</v>
      </c>
      <c r="I427" s="9"/>
    </row>
    <row r="428" spans="1:9" ht="18.75" customHeight="1">
      <c r="B428" s="25">
        <v>426</v>
      </c>
      <c r="C428" s="8" t="s">
        <v>27</v>
      </c>
      <c r="D428" s="12" t="str">
        <f t="shared" si="23"/>
        <v>助产</v>
      </c>
      <c r="E428" s="9" t="str">
        <f>"2018014015"</f>
        <v>2018014015</v>
      </c>
      <c r="F428" s="9">
        <v>32</v>
      </c>
      <c r="G428" s="9">
        <v>86</v>
      </c>
      <c r="H428" s="9">
        <f t="shared" si="21"/>
        <v>69.8</v>
      </c>
      <c r="I428" s="9"/>
    </row>
    <row r="429" spans="1:9" ht="18.75" customHeight="1">
      <c r="B429" s="25">
        <v>427</v>
      </c>
      <c r="C429" s="8" t="s">
        <v>27</v>
      </c>
      <c r="D429" s="12" t="str">
        <f t="shared" si="23"/>
        <v>助产</v>
      </c>
      <c r="E429" s="9" t="str">
        <f>"2018013522"</f>
        <v>2018013522</v>
      </c>
      <c r="F429" s="9">
        <v>45.5</v>
      </c>
      <c r="G429" s="9">
        <v>78</v>
      </c>
      <c r="H429" s="9">
        <f t="shared" si="21"/>
        <v>68.25</v>
      </c>
      <c r="I429" s="9"/>
    </row>
    <row r="430" spans="1:9" ht="18.75" customHeight="1">
      <c r="B430" s="25">
        <v>428</v>
      </c>
      <c r="C430" s="16" t="s">
        <v>37</v>
      </c>
      <c r="D430" s="18" t="str">
        <f>"助产"</f>
        <v>助产</v>
      </c>
      <c r="E430" s="17" t="str">
        <f>"2018014016"</f>
        <v>2018014016</v>
      </c>
      <c r="F430" s="17">
        <v>43</v>
      </c>
      <c r="G430" s="17">
        <v>79</v>
      </c>
      <c r="H430" s="17">
        <f t="shared" ref="H430:H431" si="24">F430*0.3+G430*0.7</f>
        <v>68.2</v>
      </c>
      <c r="I430" s="17"/>
    </row>
    <row r="431" spans="1:9" ht="18.75" customHeight="1">
      <c r="B431" s="25">
        <v>429</v>
      </c>
      <c r="C431" s="16" t="s">
        <v>37</v>
      </c>
      <c r="D431" s="18" t="str">
        <f>"助产"</f>
        <v>助产</v>
      </c>
      <c r="E431" s="17" t="str">
        <f>"2018013525"</f>
        <v>2018013525</v>
      </c>
      <c r="F431" s="17">
        <v>33</v>
      </c>
      <c r="G431" s="17">
        <v>83</v>
      </c>
      <c r="H431" s="17">
        <f t="shared" si="24"/>
        <v>68</v>
      </c>
      <c r="I431" s="17"/>
    </row>
    <row r="432" spans="1:9" ht="18.75" customHeight="1">
      <c r="B432" s="25">
        <v>430</v>
      </c>
      <c r="C432" s="16" t="s">
        <v>39</v>
      </c>
      <c r="D432" s="18" t="str">
        <f>"预防医学"</f>
        <v>预防医学</v>
      </c>
      <c r="E432" s="17" t="str">
        <f>"2018014026"</f>
        <v>2018014026</v>
      </c>
      <c r="F432" s="17">
        <v>60</v>
      </c>
      <c r="G432" s="17">
        <v>71</v>
      </c>
      <c r="H432" s="17">
        <f t="shared" ref="H432:H434" si="25">F432*0.3+G432*0.7</f>
        <v>67.699999999999989</v>
      </c>
      <c r="I432" s="17"/>
    </row>
    <row r="433" spans="2:9" ht="18.75" customHeight="1">
      <c r="B433" s="25">
        <v>431</v>
      </c>
      <c r="C433" s="8" t="s">
        <v>28</v>
      </c>
      <c r="D433" s="12" t="str">
        <f>"预防医学"</f>
        <v>预防医学</v>
      </c>
      <c r="E433" s="9" t="str">
        <f>"2018014025"</f>
        <v>2018014025</v>
      </c>
      <c r="F433" s="9">
        <v>56.5</v>
      </c>
      <c r="G433" s="9">
        <v>65</v>
      </c>
      <c r="H433" s="9">
        <f t="shared" si="25"/>
        <v>62.45</v>
      </c>
      <c r="I433" s="9"/>
    </row>
    <row r="434" spans="2:9" ht="18.75" customHeight="1">
      <c r="B434" s="25">
        <v>432</v>
      </c>
      <c r="C434" s="8" t="s">
        <v>29</v>
      </c>
      <c r="D434" s="12" t="str">
        <f>"软件工程"</f>
        <v>软件工程</v>
      </c>
      <c r="E434" s="9" t="str">
        <f>"2018014029"</f>
        <v>2018014029</v>
      </c>
      <c r="F434" s="9">
        <v>63</v>
      </c>
      <c r="G434" s="9">
        <v>61</v>
      </c>
      <c r="H434" s="9">
        <f t="shared" si="25"/>
        <v>61.599999999999994</v>
      </c>
      <c r="I434" s="9"/>
    </row>
  </sheetData>
  <sortState ref="A3:N1223">
    <sortCondition ref="C2"/>
  </sortState>
  <mergeCells count="1">
    <mergeCell ref="B1:I1"/>
  </mergeCells>
  <phoneticPr fontId="1" type="noConversion"/>
  <pageMargins left="0.47244094488188981" right="0.39370078740157483" top="0.6692913385826772" bottom="0.54" header="0.51181102362204722" footer="0.31496062992125984"/>
  <pageSetup paperSize="9" orientation="portrait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入围面试</vt:lpstr>
      <vt:lpstr>入围面试!Print_Titles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微软用户</cp:lastModifiedBy>
  <cp:lastPrinted>2018-04-09T02:22:56Z</cp:lastPrinted>
  <dcterms:created xsi:type="dcterms:W3CDTF">2018-03-26T06:28:53Z</dcterms:created>
  <dcterms:modified xsi:type="dcterms:W3CDTF">2018-05-04T01:40:40Z</dcterms:modified>
</cp:coreProperties>
</file>