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1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<sst xmlns="http://schemas.openxmlformats.org/spreadsheetml/2006/main" count="295" uniqueCount="41">
  <si>
    <t>2018010413</t>
  </si>
  <si>
    <t>2018010720</t>
  </si>
  <si>
    <t>2018011420</t>
  </si>
  <si>
    <t>2018011321</t>
  </si>
  <si>
    <t>2018011807</t>
  </si>
  <si>
    <t>2018010722</t>
  </si>
  <si>
    <t>2018011610</t>
  </si>
  <si>
    <t>2018010525</t>
  </si>
  <si>
    <t>2018012018</t>
  </si>
  <si>
    <t>2018010909</t>
  </si>
  <si>
    <t>2018010915</t>
  </si>
  <si>
    <t>2018013416</t>
  </si>
  <si>
    <t>报考岗位</t>
  </si>
  <si>
    <t>姓名</t>
  </si>
  <si>
    <t>准考证号</t>
  </si>
  <si>
    <t>序号</t>
  </si>
  <si>
    <t>总成绩</t>
  </si>
  <si>
    <t>笔试
综合成绩</t>
  </si>
  <si>
    <t>公共基础知识
成绩</t>
  </si>
  <si>
    <t>专业知识
成绩</t>
  </si>
  <si>
    <t>面试
原始成绩</t>
  </si>
  <si>
    <t>G</t>
  </si>
  <si>
    <t>H</t>
  </si>
  <si>
    <t>F</t>
  </si>
  <si>
    <t>I</t>
  </si>
  <si>
    <t>J</t>
  </si>
  <si>
    <t>E</t>
  </si>
  <si>
    <t>D</t>
  </si>
  <si>
    <t>C</t>
  </si>
  <si>
    <t>B</t>
  </si>
  <si>
    <t>A</t>
  </si>
  <si>
    <t>B</t>
  </si>
  <si>
    <t>考场号</t>
  </si>
  <si>
    <t>备注</t>
  </si>
  <si>
    <t>研究生</t>
  </si>
  <si>
    <t>2018年涡阳县县级公立医院公开招聘人员考试成绩汇总表</t>
  </si>
  <si>
    <t>报考180012岗位分A、B两组面试，考生面试最终成绩=考生面试原始成绩×修正系数（修正系数=同职位全部考生面试平均成绩÷同职位本小组考生面试平均成绩），该岗位参加面试人员平均成绩为76.86分，A组平均成绩为76.11分，B组平均成绩为77.64分</t>
  </si>
  <si>
    <t>报考180034岗位分C、D、E、F四组面试，考生面试最终成绩=考生面试原始成绩×修正系数（修正系数=同职位全部考生面试平均成绩÷同职位本小组考生面试平均成绩），该岗位参加面试人员平均成绩为77.85分，C组平均成绩为75.61分，D组平均成绩80.36分，E组平均成绩为78.72分，F组平均成绩为76.94分</t>
  </si>
  <si>
    <t>报考180069岗位分G、H、I、J四组面试，考生面试最终成绩=考生面试原始成绩×修正系数（修正系数=同职位全部考生面试平均成绩÷同职位本小组考生面试平均成绩），该岗位参加面试人员平均成绩为74.85分，G组平均成绩为71.05分，H组平均成绩76.58分，I组平均成绩为77.67分，J组平均成绩为74.11分</t>
  </si>
  <si>
    <t>面试最终成绩</t>
  </si>
  <si>
    <t>李雪梅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</si>
</sst>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40" applyNumberFormat="1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/>
      <protection/>
    </xf>
    <xf numFmtId="0" fontId="4" fillId="0" borderId="10" xfId="41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435"/>
  <sheetViews>
    <sheetView tabSelected="1" zoomScalePageLayoutView="0" workbookViewId="0" topLeftCell="A415">
      <selection activeCell="F13" sqref="F13"/>
    </sheetView>
  </sheetViews>
  <sheetFormatPr defaultColWidth="9.00390625" defaultRowHeight="14.25"/>
  <cols>
    <col min="1" max="1" width="5.25390625" style="1" customWidth="1"/>
    <col min="2" max="2" width="8.375" style="1" customWidth="1"/>
    <col min="3" max="3" width="0.12890625" style="1" customWidth="1"/>
    <col min="4" max="4" width="15.75390625" style="1" customWidth="1"/>
    <col min="5" max="5" width="9.00390625" style="1" customWidth="1"/>
    <col min="6" max="6" width="8.00390625" style="1" customWidth="1"/>
    <col min="7" max="7" width="9.00390625" style="1" customWidth="1"/>
    <col min="8" max="8" width="6.375" style="1" customWidth="1"/>
    <col min="9" max="10" width="9.00390625" style="1" customWidth="1"/>
    <col min="11" max="11" width="8.125" style="1" customWidth="1"/>
    <col min="12" max="16384" width="9.00390625" style="1" customWidth="1"/>
  </cols>
  <sheetData>
    <row r="1" spans="1:12" ht="28.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2.75">
      <c r="A2" s="2" t="s">
        <v>15</v>
      </c>
      <c r="B2" s="5" t="s">
        <v>12</v>
      </c>
      <c r="C2" s="6" t="s">
        <v>13</v>
      </c>
      <c r="D2" s="6" t="s">
        <v>14</v>
      </c>
      <c r="E2" s="7" t="s">
        <v>18</v>
      </c>
      <c r="F2" s="7" t="s">
        <v>19</v>
      </c>
      <c r="G2" s="7" t="s">
        <v>17</v>
      </c>
      <c r="H2" s="6" t="s">
        <v>32</v>
      </c>
      <c r="I2" s="10" t="s">
        <v>20</v>
      </c>
      <c r="J2" s="10" t="s">
        <v>39</v>
      </c>
      <c r="K2" s="2" t="s">
        <v>16</v>
      </c>
      <c r="L2" s="10" t="s">
        <v>33</v>
      </c>
    </row>
    <row r="3" spans="1:12" ht="20.25" customHeight="1">
      <c r="A3" s="3">
        <v>1</v>
      </c>
      <c r="B3" s="3">
        <v>180011</v>
      </c>
      <c r="C3" s="3"/>
      <c r="D3" s="3" t="s">
        <v>40</v>
      </c>
      <c r="E3" s="3"/>
      <c r="F3" s="3"/>
      <c r="G3" s="3"/>
      <c r="H3" s="3"/>
      <c r="I3" s="3">
        <v>80.8</v>
      </c>
      <c r="J3" s="3">
        <f>I3</f>
        <v>80.8</v>
      </c>
      <c r="K3" s="4">
        <v>80.8</v>
      </c>
      <c r="L3" s="4" t="s">
        <v>34</v>
      </c>
    </row>
    <row r="4" spans="1:12" ht="20.25" customHeight="1">
      <c r="A4" s="3">
        <v>2</v>
      </c>
      <c r="B4" s="8">
        <v>180012</v>
      </c>
      <c r="C4" s="9"/>
      <c r="D4" s="9" t="str">
        <f>"2018010312"</f>
        <v>2018010312</v>
      </c>
      <c r="E4" s="9">
        <v>63</v>
      </c>
      <c r="F4" s="9">
        <v>87</v>
      </c>
      <c r="G4" s="9">
        <f aca="true" t="shared" si="0" ref="G4:G35">E4*0.3+F4*0.7</f>
        <v>79.8</v>
      </c>
      <c r="H4" s="9" t="s">
        <v>31</v>
      </c>
      <c r="I4" s="4">
        <v>85.6</v>
      </c>
      <c r="J4" s="4">
        <v>84.74</v>
      </c>
      <c r="K4" s="4">
        <f aca="true" t="shared" si="1" ref="K4:K67">ROUND(G4/1.2*0.6+J4*0.4,2)</f>
        <v>73.8</v>
      </c>
      <c r="L4" s="15" t="s">
        <v>36</v>
      </c>
    </row>
    <row r="5" spans="1:12" ht="20.25" customHeight="1">
      <c r="A5" s="3">
        <v>3</v>
      </c>
      <c r="B5" s="8">
        <v>180012</v>
      </c>
      <c r="C5" s="9"/>
      <c r="D5" s="9" t="str">
        <f>"2018010321"</f>
        <v>2018010321</v>
      </c>
      <c r="E5" s="9">
        <v>77</v>
      </c>
      <c r="F5" s="9">
        <v>84</v>
      </c>
      <c r="G5" s="9">
        <f t="shared" si="0"/>
        <v>81.89999999999999</v>
      </c>
      <c r="H5" s="9" t="s">
        <v>30</v>
      </c>
      <c r="I5" s="4">
        <v>80</v>
      </c>
      <c r="J5" s="4">
        <v>80.79</v>
      </c>
      <c r="K5" s="4">
        <f t="shared" si="1"/>
        <v>73.27</v>
      </c>
      <c r="L5" s="16"/>
    </row>
    <row r="6" spans="1:12" ht="20.25" customHeight="1">
      <c r="A6" s="3">
        <v>4</v>
      </c>
      <c r="B6" s="8">
        <v>180012</v>
      </c>
      <c r="C6" s="9"/>
      <c r="D6" s="9" t="str">
        <f>"2018010226"</f>
        <v>2018010226</v>
      </c>
      <c r="E6" s="9">
        <v>55</v>
      </c>
      <c r="F6" s="9">
        <v>99</v>
      </c>
      <c r="G6" s="9">
        <f t="shared" si="0"/>
        <v>85.8</v>
      </c>
      <c r="H6" s="9" t="s">
        <v>29</v>
      </c>
      <c r="I6" s="4">
        <v>73.8</v>
      </c>
      <c r="J6" s="4">
        <v>73.06</v>
      </c>
      <c r="K6" s="4">
        <f t="shared" si="1"/>
        <v>72.12</v>
      </c>
      <c r="L6" s="16"/>
    </row>
    <row r="7" spans="1:12" ht="20.25" customHeight="1">
      <c r="A7" s="3">
        <v>5</v>
      </c>
      <c r="B7" s="8">
        <v>180012</v>
      </c>
      <c r="C7" s="9"/>
      <c r="D7" s="9" t="str">
        <f>"2018010225"</f>
        <v>2018010225</v>
      </c>
      <c r="E7" s="9">
        <v>64.5</v>
      </c>
      <c r="F7" s="9">
        <v>85</v>
      </c>
      <c r="G7" s="9">
        <f t="shared" si="0"/>
        <v>78.85</v>
      </c>
      <c r="H7" s="9" t="s">
        <v>31</v>
      </c>
      <c r="I7" s="4">
        <v>82.2</v>
      </c>
      <c r="J7" s="4">
        <v>81.37</v>
      </c>
      <c r="K7" s="4">
        <f t="shared" si="1"/>
        <v>71.97</v>
      </c>
      <c r="L7" s="16"/>
    </row>
    <row r="8" spans="1:12" ht="20.25" customHeight="1">
      <c r="A8" s="3">
        <v>6</v>
      </c>
      <c r="B8" s="8">
        <v>180012</v>
      </c>
      <c r="C8" s="9"/>
      <c r="D8" s="9" t="str">
        <f>"2018010105"</f>
        <v>2018010105</v>
      </c>
      <c r="E8" s="9">
        <v>66</v>
      </c>
      <c r="F8" s="9">
        <v>77</v>
      </c>
      <c r="G8" s="9">
        <f t="shared" si="0"/>
        <v>73.7</v>
      </c>
      <c r="H8" s="9" t="s">
        <v>30</v>
      </c>
      <c r="I8" s="4">
        <v>86.6</v>
      </c>
      <c r="J8" s="4">
        <v>87.45</v>
      </c>
      <c r="K8" s="4">
        <f t="shared" si="1"/>
        <v>71.83</v>
      </c>
      <c r="L8" s="16"/>
    </row>
    <row r="9" spans="1:12" ht="20.25" customHeight="1">
      <c r="A9" s="3">
        <v>7</v>
      </c>
      <c r="B9" s="8">
        <v>180012</v>
      </c>
      <c r="C9" s="9"/>
      <c r="D9" s="9" t="str">
        <f>"2018010230"</f>
        <v>2018010230</v>
      </c>
      <c r="E9" s="9">
        <v>74.5</v>
      </c>
      <c r="F9" s="9">
        <v>85</v>
      </c>
      <c r="G9" s="9">
        <f t="shared" si="0"/>
        <v>81.85</v>
      </c>
      <c r="H9" s="9" t="s">
        <v>31</v>
      </c>
      <c r="I9" s="4">
        <v>76.6</v>
      </c>
      <c r="J9" s="4">
        <v>75.83</v>
      </c>
      <c r="K9" s="4">
        <f t="shared" si="1"/>
        <v>71.26</v>
      </c>
      <c r="L9" s="16"/>
    </row>
    <row r="10" spans="1:12" ht="20.25" customHeight="1">
      <c r="A10" s="3">
        <v>8</v>
      </c>
      <c r="B10" s="8">
        <v>180012</v>
      </c>
      <c r="C10" s="9"/>
      <c r="D10" s="9" t="str">
        <f>"2018010123"</f>
        <v>2018010123</v>
      </c>
      <c r="E10" s="9">
        <v>52</v>
      </c>
      <c r="F10" s="9">
        <v>93</v>
      </c>
      <c r="G10" s="9">
        <f t="shared" si="0"/>
        <v>80.69999999999999</v>
      </c>
      <c r="H10" s="9" t="s">
        <v>31</v>
      </c>
      <c r="I10" s="4">
        <v>78</v>
      </c>
      <c r="J10" s="4">
        <v>77.22</v>
      </c>
      <c r="K10" s="4">
        <f t="shared" si="1"/>
        <v>71.24</v>
      </c>
      <c r="L10" s="16"/>
    </row>
    <row r="11" spans="1:12" ht="20.25" customHeight="1">
      <c r="A11" s="3">
        <v>9</v>
      </c>
      <c r="B11" s="8">
        <v>180012</v>
      </c>
      <c r="C11" s="9"/>
      <c r="D11" s="9" t="str">
        <f>"2018010307"</f>
        <v>2018010307</v>
      </c>
      <c r="E11" s="9">
        <v>57.5</v>
      </c>
      <c r="F11" s="9">
        <v>83</v>
      </c>
      <c r="G11" s="9">
        <f t="shared" si="0"/>
        <v>75.35</v>
      </c>
      <c r="H11" s="9" t="s">
        <v>30</v>
      </c>
      <c r="I11" s="4">
        <v>80.1</v>
      </c>
      <c r="J11" s="4">
        <v>80.89</v>
      </c>
      <c r="K11" s="4">
        <f t="shared" si="1"/>
        <v>70.03</v>
      </c>
      <c r="L11" s="16"/>
    </row>
    <row r="12" spans="1:12" ht="20.25" customHeight="1">
      <c r="A12" s="3">
        <v>10</v>
      </c>
      <c r="B12" s="8">
        <v>180012</v>
      </c>
      <c r="C12" s="9"/>
      <c r="D12" s="9" t="str">
        <f>"2018010303"</f>
        <v>2018010303</v>
      </c>
      <c r="E12" s="9">
        <v>74</v>
      </c>
      <c r="F12" s="9">
        <v>88</v>
      </c>
      <c r="G12" s="9">
        <f t="shared" si="0"/>
        <v>83.8</v>
      </c>
      <c r="H12" s="9" t="s">
        <v>30</v>
      </c>
      <c r="I12" s="4">
        <v>69.2</v>
      </c>
      <c r="J12" s="4">
        <v>69.88</v>
      </c>
      <c r="K12" s="4">
        <f t="shared" si="1"/>
        <v>69.85</v>
      </c>
      <c r="L12" s="16"/>
    </row>
    <row r="13" spans="1:12" ht="20.25" customHeight="1">
      <c r="A13" s="3">
        <v>11</v>
      </c>
      <c r="B13" s="8">
        <v>180012</v>
      </c>
      <c r="C13" s="9"/>
      <c r="D13" s="9" t="str">
        <f>"2018010210"</f>
        <v>2018010210</v>
      </c>
      <c r="E13" s="9">
        <v>74.5</v>
      </c>
      <c r="F13" s="9">
        <v>83</v>
      </c>
      <c r="G13" s="9">
        <f t="shared" si="0"/>
        <v>80.44999999999999</v>
      </c>
      <c r="H13" s="9" t="s">
        <v>31</v>
      </c>
      <c r="I13" s="4">
        <v>74.4</v>
      </c>
      <c r="J13" s="4">
        <v>73.65</v>
      </c>
      <c r="K13" s="4">
        <f t="shared" si="1"/>
        <v>69.69</v>
      </c>
      <c r="L13" s="16"/>
    </row>
    <row r="14" spans="1:12" ht="20.25" customHeight="1">
      <c r="A14" s="3">
        <v>12</v>
      </c>
      <c r="B14" s="8">
        <v>180012</v>
      </c>
      <c r="C14" s="9"/>
      <c r="D14" s="9" t="str">
        <f>"2018010127"</f>
        <v>2018010127</v>
      </c>
      <c r="E14" s="9">
        <v>57.5</v>
      </c>
      <c r="F14" s="9">
        <v>88</v>
      </c>
      <c r="G14" s="9">
        <f t="shared" si="0"/>
        <v>78.85</v>
      </c>
      <c r="H14" s="9" t="s">
        <v>30</v>
      </c>
      <c r="I14" s="4">
        <v>74.7</v>
      </c>
      <c r="J14" s="4">
        <v>75.44</v>
      </c>
      <c r="K14" s="4">
        <f t="shared" si="1"/>
        <v>69.6</v>
      </c>
      <c r="L14" s="16"/>
    </row>
    <row r="15" spans="1:12" ht="20.25" customHeight="1">
      <c r="A15" s="3">
        <v>13</v>
      </c>
      <c r="B15" s="8">
        <v>180012</v>
      </c>
      <c r="C15" s="9"/>
      <c r="D15" s="9" t="str">
        <f>"2018010216"</f>
        <v>2018010216</v>
      </c>
      <c r="E15" s="9">
        <v>50</v>
      </c>
      <c r="F15" s="9">
        <v>82</v>
      </c>
      <c r="G15" s="9">
        <f t="shared" si="0"/>
        <v>72.4</v>
      </c>
      <c r="H15" s="9" t="s">
        <v>30</v>
      </c>
      <c r="I15" s="4">
        <v>82.7</v>
      </c>
      <c r="J15" s="4">
        <v>83.51</v>
      </c>
      <c r="K15" s="4">
        <f t="shared" si="1"/>
        <v>69.6</v>
      </c>
      <c r="L15" s="16"/>
    </row>
    <row r="16" spans="1:12" ht="20.25" customHeight="1">
      <c r="A16" s="3">
        <v>14</v>
      </c>
      <c r="B16" s="8">
        <v>180012</v>
      </c>
      <c r="C16" s="9"/>
      <c r="D16" s="9" t="str">
        <f>"2018010327"</f>
        <v>2018010327</v>
      </c>
      <c r="E16" s="9">
        <v>57</v>
      </c>
      <c r="F16" s="9">
        <v>83</v>
      </c>
      <c r="G16" s="9">
        <f t="shared" si="0"/>
        <v>75.19999999999999</v>
      </c>
      <c r="H16" s="9" t="s">
        <v>31</v>
      </c>
      <c r="I16" s="4">
        <v>79.8</v>
      </c>
      <c r="J16" s="4">
        <v>79</v>
      </c>
      <c r="K16" s="4">
        <f t="shared" si="1"/>
        <v>69.2</v>
      </c>
      <c r="L16" s="16"/>
    </row>
    <row r="17" spans="1:12" ht="20.25" customHeight="1">
      <c r="A17" s="3">
        <v>15</v>
      </c>
      <c r="B17" s="8">
        <v>180012</v>
      </c>
      <c r="C17" s="9"/>
      <c r="D17" s="9" t="str">
        <f>"2018010213"</f>
        <v>2018010213</v>
      </c>
      <c r="E17" s="9">
        <v>65.5</v>
      </c>
      <c r="F17" s="9">
        <v>73</v>
      </c>
      <c r="G17" s="9">
        <f t="shared" si="0"/>
        <v>70.75</v>
      </c>
      <c r="H17" s="9" t="s">
        <v>30</v>
      </c>
      <c r="I17" s="4">
        <v>83.4</v>
      </c>
      <c r="J17" s="4">
        <v>84.22</v>
      </c>
      <c r="K17" s="4">
        <f t="shared" si="1"/>
        <v>69.06</v>
      </c>
      <c r="L17" s="16"/>
    </row>
    <row r="18" spans="1:12" ht="20.25" customHeight="1">
      <c r="A18" s="3">
        <v>16</v>
      </c>
      <c r="B18" s="8">
        <v>180012</v>
      </c>
      <c r="C18" s="9"/>
      <c r="D18" s="9" t="str">
        <f>"2018010313"</f>
        <v>2018010313</v>
      </c>
      <c r="E18" s="9">
        <v>73.5</v>
      </c>
      <c r="F18" s="9">
        <v>78</v>
      </c>
      <c r="G18" s="9">
        <f t="shared" si="0"/>
        <v>76.64999999999999</v>
      </c>
      <c r="H18" s="9" t="s">
        <v>31</v>
      </c>
      <c r="I18" s="4">
        <v>77.6</v>
      </c>
      <c r="J18" s="4">
        <v>76.82</v>
      </c>
      <c r="K18" s="4">
        <f t="shared" si="1"/>
        <v>69.05</v>
      </c>
      <c r="L18" s="16"/>
    </row>
    <row r="19" spans="1:12" ht="20.25" customHeight="1">
      <c r="A19" s="3">
        <v>17</v>
      </c>
      <c r="B19" s="8">
        <v>180012</v>
      </c>
      <c r="C19" s="9"/>
      <c r="D19" s="9" t="str">
        <f>"2018010107"</f>
        <v>2018010107</v>
      </c>
      <c r="E19" s="9">
        <v>55</v>
      </c>
      <c r="F19" s="9">
        <v>82</v>
      </c>
      <c r="G19" s="9">
        <f t="shared" si="0"/>
        <v>73.9</v>
      </c>
      <c r="H19" s="9" t="s">
        <v>30</v>
      </c>
      <c r="I19" s="4">
        <v>79.2</v>
      </c>
      <c r="J19" s="4">
        <v>79.98</v>
      </c>
      <c r="K19" s="4">
        <f t="shared" si="1"/>
        <v>68.94</v>
      </c>
      <c r="L19" s="16"/>
    </row>
    <row r="20" spans="1:12" ht="20.25" customHeight="1">
      <c r="A20" s="3">
        <v>18</v>
      </c>
      <c r="B20" s="8">
        <v>180012</v>
      </c>
      <c r="C20" s="9"/>
      <c r="D20" s="9" t="str">
        <f>"2018010114"</f>
        <v>2018010114</v>
      </c>
      <c r="E20" s="9">
        <v>73</v>
      </c>
      <c r="F20" s="9">
        <v>78</v>
      </c>
      <c r="G20" s="9">
        <f t="shared" si="0"/>
        <v>76.5</v>
      </c>
      <c r="H20" s="9" t="s">
        <v>31</v>
      </c>
      <c r="I20" s="4">
        <v>77.4</v>
      </c>
      <c r="J20" s="4">
        <v>76.62</v>
      </c>
      <c r="K20" s="4">
        <f t="shared" si="1"/>
        <v>68.9</v>
      </c>
      <c r="L20" s="16"/>
    </row>
    <row r="21" spans="1:12" ht="20.25" customHeight="1">
      <c r="A21" s="3">
        <v>19</v>
      </c>
      <c r="B21" s="8">
        <v>180012</v>
      </c>
      <c r="C21" s="9"/>
      <c r="D21" s="9" t="str">
        <f>"2018010102"</f>
        <v>2018010102</v>
      </c>
      <c r="E21" s="9">
        <v>58.5</v>
      </c>
      <c r="F21" s="9">
        <v>83</v>
      </c>
      <c r="G21" s="9">
        <f t="shared" si="0"/>
        <v>75.64999999999999</v>
      </c>
      <c r="H21" s="9" t="s">
        <v>31</v>
      </c>
      <c r="I21" s="4">
        <v>77.3</v>
      </c>
      <c r="J21" s="4">
        <v>76.52</v>
      </c>
      <c r="K21" s="4">
        <f t="shared" si="1"/>
        <v>68.43</v>
      </c>
      <c r="L21" s="16"/>
    </row>
    <row r="22" spans="1:12" ht="20.25" customHeight="1">
      <c r="A22" s="3">
        <v>20</v>
      </c>
      <c r="B22" s="8">
        <v>180012</v>
      </c>
      <c r="C22" s="9"/>
      <c r="D22" s="9" t="str">
        <f>"2018010304"</f>
        <v>2018010304</v>
      </c>
      <c r="E22" s="9">
        <v>57.5</v>
      </c>
      <c r="F22" s="9">
        <v>79</v>
      </c>
      <c r="G22" s="9">
        <f t="shared" si="0"/>
        <v>72.55</v>
      </c>
      <c r="H22" s="9" t="s">
        <v>31</v>
      </c>
      <c r="I22" s="4">
        <v>81</v>
      </c>
      <c r="J22" s="4">
        <v>80.19</v>
      </c>
      <c r="K22" s="4">
        <f t="shared" si="1"/>
        <v>68.35</v>
      </c>
      <c r="L22" s="16"/>
    </row>
    <row r="23" spans="1:12" ht="20.25" customHeight="1">
      <c r="A23" s="3">
        <v>21</v>
      </c>
      <c r="B23" s="8">
        <v>180012</v>
      </c>
      <c r="C23" s="9"/>
      <c r="D23" s="9" t="str">
        <f>"2018010324"</f>
        <v>2018010324</v>
      </c>
      <c r="E23" s="9">
        <v>57</v>
      </c>
      <c r="F23" s="9">
        <v>80</v>
      </c>
      <c r="G23" s="9">
        <f t="shared" si="0"/>
        <v>73.1</v>
      </c>
      <c r="H23" s="9" t="s">
        <v>30</v>
      </c>
      <c r="I23" s="4">
        <v>78</v>
      </c>
      <c r="J23" s="4">
        <v>78.77</v>
      </c>
      <c r="K23" s="4">
        <f t="shared" si="1"/>
        <v>68.06</v>
      </c>
      <c r="L23" s="16"/>
    </row>
    <row r="24" spans="1:12" ht="20.25" customHeight="1">
      <c r="A24" s="3">
        <v>22</v>
      </c>
      <c r="B24" s="8">
        <v>180012</v>
      </c>
      <c r="C24" s="9"/>
      <c r="D24" s="9" t="str">
        <f>"2018010318"</f>
        <v>2018010318</v>
      </c>
      <c r="E24" s="9">
        <v>50</v>
      </c>
      <c r="F24" s="9">
        <v>76</v>
      </c>
      <c r="G24" s="9">
        <f t="shared" si="0"/>
        <v>68.19999999999999</v>
      </c>
      <c r="H24" s="9" t="s">
        <v>30</v>
      </c>
      <c r="I24" s="4">
        <v>83.3</v>
      </c>
      <c r="J24" s="4">
        <v>84.12</v>
      </c>
      <c r="K24" s="4">
        <f t="shared" si="1"/>
        <v>67.75</v>
      </c>
      <c r="L24" s="16"/>
    </row>
    <row r="25" spans="1:12" ht="20.25" customHeight="1">
      <c r="A25" s="3">
        <v>23</v>
      </c>
      <c r="B25" s="8">
        <v>180012</v>
      </c>
      <c r="C25" s="9"/>
      <c r="D25" s="9" t="str">
        <f>"2018010121"</f>
        <v>2018010121</v>
      </c>
      <c r="E25" s="9">
        <v>51.5</v>
      </c>
      <c r="F25" s="9">
        <v>83</v>
      </c>
      <c r="G25" s="9">
        <f t="shared" si="0"/>
        <v>73.55</v>
      </c>
      <c r="H25" s="9" t="s">
        <v>31</v>
      </c>
      <c r="I25" s="4">
        <v>78</v>
      </c>
      <c r="J25" s="4">
        <v>77.22</v>
      </c>
      <c r="K25" s="4">
        <f t="shared" si="1"/>
        <v>67.66</v>
      </c>
      <c r="L25" s="16"/>
    </row>
    <row r="26" spans="1:12" ht="20.25" customHeight="1">
      <c r="A26" s="3">
        <v>24</v>
      </c>
      <c r="B26" s="8">
        <v>180012</v>
      </c>
      <c r="C26" s="9"/>
      <c r="D26" s="9" t="str">
        <f>"2018010118"</f>
        <v>2018010118</v>
      </c>
      <c r="E26" s="9">
        <v>59.5</v>
      </c>
      <c r="F26" s="9">
        <v>82</v>
      </c>
      <c r="G26" s="9">
        <f t="shared" si="0"/>
        <v>75.25</v>
      </c>
      <c r="H26" s="9" t="s">
        <v>31</v>
      </c>
      <c r="I26" s="4">
        <v>75.8</v>
      </c>
      <c r="J26" s="4">
        <v>75.04</v>
      </c>
      <c r="K26" s="4">
        <f t="shared" si="1"/>
        <v>67.64</v>
      </c>
      <c r="L26" s="16"/>
    </row>
    <row r="27" spans="1:12" ht="20.25" customHeight="1">
      <c r="A27" s="3">
        <v>25</v>
      </c>
      <c r="B27" s="8">
        <v>180012</v>
      </c>
      <c r="C27" s="9"/>
      <c r="D27" s="9" t="str">
        <f>"2018010214"</f>
        <v>2018010214</v>
      </c>
      <c r="E27" s="9">
        <v>62.5</v>
      </c>
      <c r="F27" s="9">
        <v>78</v>
      </c>
      <c r="G27" s="9">
        <f t="shared" si="0"/>
        <v>73.35</v>
      </c>
      <c r="H27" s="9" t="s">
        <v>31</v>
      </c>
      <c r="I27" s="4">
        <v>78.2</v>
      </c>
      <c r="J27" s="4">
        <v>77.41</v>
      </c>
      <c r="K27" s="4">
        <f t="shared" si="1"/>
        <v>67.64</v>
      </c>
      <c r="L27" s="16"/>
    </row>
    <row r="28" spans="1:12" ht="20.25" customHeight="1">
      <c r="A28" s="3">
        <v>26</v>
      </c>
      <c r="B28" s="8">
        <v>180012</v>
      </c>
      <c r="C28" s="9"/>
      <c r="D28" s="9" t="str">
        <f>"2018010110"</f>
        <v>2018010110</v>
      </c>
      <c r="E28" s="9">
        <v>60.5</v>
      </c>
      <c r="F28" s="9">
        <v>80</v>
      </c>
      <c r="G28" s="9">
        <f t="shared" si="0"/>
        <v>74.15</v>
      </c>
      <c r="H28" s="9" t="s">
        <v>31</v>
      </c>
      <c r="I28" s="4">
        <v>76.6</v>
      </c>
      <c r="J28" s="4">
        <v>75.83</v>
      </c>
      <c r="K28" s="4">
        <f t="shared" si="1"/>
        <v>67.41</v>
      </c>
      <c r="L28" s="16"/>
    </row>
    <row r="29" spans="1:12" ht="20.25" customHeight="1">
      <c r="A29" s="3">
        <v>27</v>
      </c>
      <c r="B29" s="8">
        <v>180012</v>
      </c>
      <c r="C29" s="9"/>
      <c r="D29" s="9" t="str">
        <f>"2018010311"</f>
        <v>2018010311</v>
      </c>
      <c r="E29" s="9">
        <v>52</v>
      </c>
      <c r="F29" s="9">
        <v>83</v>
      </c>
      <c r="G29" s="9">
        <f t="shared" si="0"/>
        <v>73.69999999999999</v>
      </c>
      <c r="H29" s="9" t="s">
        <v>31</v>
      </c>
      <c r="I29" s="4">
        <v>76.4</v>
      </c>
      <c r="J29" s="4">
        <v>75.63</v>
      </c>
      <c r="K29" s="4">
        <f t="shared" si="1"/>
        <v>67.1</v>
      </c>
      <c r="L29" s="16"/>
    </row>
    <row r="30" spans="1:12" ht="20.25" customHeight="1">
      <c r="A30" s="3">
        <v>28</v>
      </c>
      <c r="B30" s="8">
        <v>180012</v>
      </c>
      <c r="C30" s="9"/>
      <c r="D30" s="9" t="str">
        <f>"2018010101"</f>
        <v>2018010101</v>
      </c>
      <c r="E30" s="9">
        <v>52.5</v>
      </c>
      <c r="F30" s="9">
        <v>75</v>
      </c>
      <c r="G30" s="9">
        <f t="shared" si="0"/>
        <v>68.25</v>
      </c>
      <c r="H30" s="9" t="s">
        <v>30</v>
      </c>
      <c r="I30" s="4">
        <v>81.2</v>
      </c>
      <c r="J30" s="4">
        <v>82</v>
      </c>
      <c r="K30" s="4">
        <f t="shared" si="1"/>
        <v>66.93</v>
      </c>
      <c r="L30" s="16"/>
    </row>
    <row r="31" spans="1:12" ht="20.25" customHeight="1">
      <c r="A31" s="3">
        <v>29</v>
      </c>
      <c r="B31" s="8">
        <v>180012</v>
      </c>
      <c r="C31" s="9"/>
      <c r="D31" s="9" t="str">
        <f>"2018013606"</f>
        <v>2018013606</v>
      </c>
      <c r="E31" s="9">
        <v>58</v>
      </c>
      <c r="F31" s="9">
        <v>80</v>
      </c>
      <c r="G31" s="9">
        <f t="shared" si="0"/>
        <v>73.4</v>
      </c>
      <c r="H31" s="9" t="s">
        <v>31</v>
      </c>
      <c r="I31" s="4">
        <v>76</v>
      </c>
      <c r="J31" s="4">
        <v>75.24</v>
      </c>
      <c r="K31" s="4">
        <f t="shared" si="1"/>
        <v>66.8</v>
      </c>
      <c r="L31" s="16"/>
    </row>
    <row r="32" spans="1:12" ht="20.25" customHeight="1">
      <c r="A32" s="3">
        <v>30</v>
      </c>
      <c r="B32" s="8">
        <v>180012</v>
      </c>
      <c r="C32" s="9"/>
      <c r="D32" s="9" t="str">
        <f>"2018010228"</f>
        <v>2018010228</v>
      </c>
      <c r="E32" s="9">
        <v>59.5</v>
      </c>
      <c r="F32" s="9">
        <v>81</v>
      </c>
      <c r="G32" s="9">
        <f t="shared" si="0"/>
        <v>74.55</v>
      </c>
      <c r="H32" s="9" t="s">
        <v>30</v>
      </c>
      <c r="I32" s="4">
        <v>72.8</v>
      </c>
      <c r="J32" s="4">
        <v>73.52</v>
      </c>
      <c r="K32" s="4">
        <f t="shared" si="1"/>
        <v>66.68</v>
      </c>
      <c r="L32" s="16"/>
    </row>
    <row r="33" spans="1:12" ht="20.25" customHeight="1">
      <c r="A33" s="3">
        <v>31</v>
      </c>
      <c r="B33" s="8">
        <v>180012</v>
      </c>
      <c r="C33" s="9"/>
      <c r="D33" s="9" t="str">
        <f>"2018010317"</f>
        <v>2018010317</v>
      </c>
      <c r="E33" s="9">
        <v>55</v>
      </c>
      <c r="F33" s="9">
        <v>73</v>
      </c>
      <c r="G33" s="9">
        <f t="shared" si="0"/>
        <v>67.6</v>
      </c>
      <c r="H33" s="9" t="s">
        <v>30</v>
      </c>
      <c r="I33" s="4">
        <v>81.4</v>
      </c>
      <c r="J33" s="4">
        <v>82.2</v>
      </c>
      <c r="K33" s="4">
        <f t="shared" si="1"/>
        <v>66.68</v>
      </c>
      <c r="L33" s="16"/>
    </row>
    <row r="34" spans="1:12" ht="20.25" customHeight="1">
      <c r="A34" s="3">
        <v>32</v>
      </c>
      <c r="B34" s="8">
        <v>180012</v>
      </c>
      <c r="C34" s="9"/>
      <c r="D34" s="9" t="str">
        <f>"2018010130"</f>
        <v>2018010130</v>
      </c>
      <c r="E34" s="9">
        <v>47.5</v>
      </c>
      <c r="F34" s="9">
        <v>78</v>
      </c>
      <c r="G34" s="9">
        <f t="shared" si="0"/>
        <v>68.85</v>
      </c>
      <c r="H34" s="9" t="s">
        <v>31</v>
      </c>
      <c r="I34" s="4">
        <v>80</v>
      </c>
      <c r="J34" s="4">
        <v>79.2</v>
      </c>
      <c r="K34" s="4">
        <f t="shared" si="1"/>
        <v>66.11</v>
      </c>
      <c r="L34" s="16"/>
    </row>
    <row r="35" spans="1:12" ht="20.25" customHeight="1">
      <c r="A35" s="3">
        <v>33</v>
      </c>
      <c r="B35" s="8">
        <v>180012</v>
      </c>
      <c r="C35" s="9"/>
      <c r="D35" s="9" t="str">
        <f>"2018010113"</f>
        <v>2018010113</v>
      </c>
      <c r="E35" s="9">
        <v>60.5</v>
      </c>
      <c r="F35" s="9">
        <v>76</v>
      </c>
      <c r="G35" s="9">
        <f t="shared" si="0"/>
        <v>71.35</v>
      </c>
      <c r="H35" s="9" t="s">
        <v>31</v>
      </c>
      <c r="I35" s="4">
        <v>76.8</v>
      </c>
      <c r="J35" s="4">
        <v>76.03</v>
      </c>
      <c r="K35" s="4">
        <f t="shared" si="1"/>
        <v>66.09</v>
      </c>
      <c r="L35" s="16"/>
    </row>
    <row r="36" spans="1:12" ht="20.25" customHeight="1">
      <c r="A36" s="3">
        <v>34</v>
      </c>
      <c r="B36" s="8">
        <v>180012</v>
      </c>
      <c r="C36" s="9"/>
      <c r="D36" s="9" t="str">
        <f>"2018010119"</f>
        <v>2018010119</v>
      </c>
      <c r="E36" s="9">
        <v>70.5</v>
      </c>
      <c r="F36" s="9">
        <v>80</v>
      </c>
      <c r="G36" s="9">
        <f aca="true" t="shared" si="2" ref="G36:G67">E36*0.3+F36*0.7</f>
        <v>77.15</v>
      </c>
      <c r="H36" s="9" t="s">
        <v>30</v>
      </c>
      <c r="I36" s="4">
        <v>67.8</v>
      </c>
      <c r="J36" s="4">
        <v>68.47</v>
      </c>
      <c r="K36" s="4">
        <f t="shared" si="1"/>
        <v>65.96</v>
      </c>
      <c r="L36" s="16"/>
    </row>
    <row r="37" spans="1:12" ht="20.25" customHeight="1">
      <c r="A37" s="3">
        <v>35</v>
      </c>
      <c r="B37" s="8">
        <v>180012</v>
      </c>
      <c r="C37" s="9"/>
      <c r="D37" s="9" t="str">
        <f>"2018010201"</f>
        <v>2018010201</v>
      </c>
      <c r="E37" s="9">
        <v>52</v>
      </c>
      <c r="F37" s="9">
        <v>80</v>
      </c>
      <c r="G37" s="9">
        <f t="shared" si="2"/>
        <v>71.6</v>
      </c>
      <c r="H37" s="9" t="s">
        <v>31</v>
      </c>
      <c r="I37" s="4">
        <v>75</v>
      </c>
      <c r="J37" s="4">
        <v>74.25</v>
      </c>
      <c r="K37" s="4">
        <f t="shared" si="1"/>
        <v>65.5</v>
      </c>
      <c r="L37" s="16"/>
    </row>
    <row r="38" spans="1:12" ht="20.25" customHeight="1">
      <c r="A38" s="3">
        <v>36</v>
      </c>
      <c r="B38" s="8">
        <v>180012</v>
      </c>
      <c r="C38" s="9"/>
      <c r="D38" s="9" t="str">
        <f>"2018010316"</f>
        <v>2018010316</v>
      </c>
      <c r="E38" s="9">
        <v>62.5</v>
      </c>
      <c r="F38" s="9">
        <v>72</v>
      </c>
      <c r="G38" s="9">
        <f t="shared" si="2"/>
        <v>69.15</v>
      </c>
      <c r="H38" s="9" t="s">
        <v>31</v>
      </c>
      <c r="I38" s="4">
        <v>77.4</v>
      </c>
      <c r="J38" s="4">
        <v>76.62</v>
      </c>
      <c r="K38" s="4">
        <f t="shared" si="1"/>
        <v>65.22</v>
      </c>
      <c r="L38" s="16"/>
    </row>
    <row r="39" spans="1:12" ht="20.25" customHeight="1">
      <c r="A39" s="3">
        <v>37</v>
      </c>
      <c r="B39" s="8">
        <v>180012</v>
      </c>
      <c r="C39" s="9"/>
      <c r="D39" s="9" t="str">
        <f>"2018010117"</f>
        <v>2018010117</v>
      </c>
      <c r="E39" s="9">
        <v>53.5</v>
      </c>
      <c r="F39" s="9">
        <v>70</v>
      </c>
      <c r="G39" s="9">
        <f t="shared" si="2"/>
        <v>65.05</v>
      </c>
      <c r="H39" s="9" t="s">
        <v>30</v>
      </c>
      <c r="I39" s="4">
        <v>79.4</v>
      </c>
      <c r="J39" s="4">
        <v>80.18</v>
      </c>
      <c r="K39" s="4">
        <f t="shared" si="1"/>
        <v>64.6</v>
      </c>
      <c r="L39" s="16"/>
    </row>
    <row r="40" spans="1:12" ht="20.25" customHeight="1">
      <c r="A40" s="3">
        <v>38</v>
      </c>
      <c r="B40" s="8">
        <v>180012</v>
      </c>
      <c r="C40" s="9"/>
      <c r="D40" s="9" t="str">
        <f>"2018010215"</f>
        <v>2018010215</v>
      </c>
      <c r="E40" s="9">
        <v>63.5</v>
      </c>
      <c r="F40" s="9">
        <v>68</v>
      </c>
      <c r="G40" s="9">
        <f t="shared" si="2"/>
        <v>66.64999999999999</v>
      </c>
      <c r="H40" s="9" t="s">
        <v>30</v>
      </c>
      <c r="I40" s="4">
        <v>76.9</v>
      </c>
      <c r="J40" s="4">
        <v>77.66</v>
      </c>
      <c r="K40" s="4">
        <f t="shared" si="1"/>
        <v>64.39</v>
      </c>
      <c r="L40" s="16"/>
    </row>
    <row r="41" spans="1:12" ht="20.25" customHeight="1">
      <c r="A41" s="3">
        <v>39</v>
      </c>
      <c r="B41" s="8">
        <v>180012</v>
      </c>
      <c r="C41" s="9"/>
      <c r="D41" s="9" t="str">
        <f>"2018010319"</f>
        <v>2018010319</v>
      </c>
      <c r="E41" s="9">
        <v>55.5</v>
      </c>
      <c r="F41" s="9">
        <v>78</v>
      </c>
      <c r="G41" s="9">
        <f t="shared" si="2"/>
        <v>71.25</v>
      </c>
      <c r="H41" s="9" t="s">
        <v>30</v>
      </c>
      <c r="I41" s="4">
        <v>71.1</v>
      </c>
      <c r="J41" s="4">
        <v>71.8</v>
      </c>
      <c r="K41" s="4">
        <f t="shared" si="1"/>
        <v>64.35</v>
      </c>
      <c r="L41" s="16"/>
    </row>
    <row r="42" spans="1:12" ht="20.25" customHeight="1">
      <c r="A42" s="3">
        <v>40</v>
      </c>
      <c r="B42" s="8">
        <v>180012</v>
      </c>
      <c r="C42" s="9"/>
      <c r="D42" s="9" t="str">
        <f>"2018010104"</f>
        <v>2018010104</v>
      </c>
      <c r="E42" s="9">
        <v>44</v>
      </c>
      <c r="F42" s="9">
        <v>75</v>
      </c>
      <c r="G42" s="9">
        <f t="shared" si="2"/>
        <v>65.7</v>
      </c>
      <c r="H42" s="9" t="s">
        <v>30</v>
      </c>
      <c r="I42" s="4">
        <v>77.2</v>
      </c>
      <c r="J42" s="4">
        <v>77.96</v>
      </c>
      <c r="K42" s="4">
        <f t="shared" si="1"/>
        <v>64.03</v>
      </c>
      <c r="L42" s="16"/>
    </row>
    <row r="43" spans="1:12" ht="20.25" customHeight="1">
      <c r="A43" s="3">
        <v>41</v>
      </c>
      <c r="B43" s="8">
        <v>180012</v>
      </c>
      <c r="C43" s="9"/>
      <c r="D43" s="9" t="str">
        <f>"2018010212"</f>
        <v>2018010212</v>
      </c>
      <c r="E43" s="9">
        <v>49.5</v>
      </c>
      <c r="F43" s="9">
        <v>75</v>
      </c>
      <c r="G43" s="9">
        <f t="shared" si="2"/>
        <v>67.35</v>
      </c>
      <c r="H43" s="9" t="s">
        <v>31</v>
      </c>
      <c r="I43" s="4">
        <v>74.2</v>
      </c>
      <c r="J43" s="4">
        <v>73.45</v>
      </c>
      <c r="K43" s="4">
        <f t="shared" si="1"/>
        <v>63.06</v>
      </c>
      <c r="L43" s="16"/>
    </row>
    <row r="44" spans="1:12" ht="20.25" customHeight="1">
      <c r="A44" s="3">
        <v>42</v>
      </c>
      <c r="B44" s="8">
        <v>180012</v>
      </c>
      <c r="C44" s="9"/>
      <c r="D44" s="9" t="str">
        <f>"2018010322"</f>
        <v>2018010322</v>
      </c>
      <c r="E44" s="9">
        <v>67.5</v>
      </c>
      <c r="F44" s="9">
        <v>74</v>
      </c>
      <c r="G44" s="9">
        <f t="shared" si="2"/>
        <v>72.05</v>
      </c>
      <c r="H44" s="9" t="s">
        <v>30</v>
      </c>
      <c r="I44" s="4">
        <v>66.7</v>
      </c>
      <c r="J44" s="4">
        <v>67.36</v>
      </c>
      <c r="K44" s="4">
        <f t="shared" si="1"/>
        <v>62.97</v>
      </c>
      <c r="L44" s="16"/>
    </row>
    <row r="45" spans="1:12" ht="20.25" customHeight="1">
      <c r="A45" s="3">
        <v>43</v>
      </c>
      <c r="B45" s="8">
        <v>180012</v>
      </c>
      <c r="C45" s="9"/>
      <c r="D45" s="9" t="str">
        <f>"2018010315"</f>
        <v>2018010315</v>
      </c>
      <c r="E45" s="9">
        <v>60</v>
      </c>
      <c r="F45" s="9">
        <v>63</v>
      </c>
      <c r="G45" s="9">
        <f t="shared" si="2"/>
        <v>62.099999999999994</v>
      </c>
      <c r="H45" s="9" t="s">
        <v>30</v>
      </c>
      <c r="I45" s="4">
        <v>77.7</v>
      </c>
      <c r="J45" s="4">
        <v>78.47</v>
      </c>
      <c r="K45" s="4">
        <f t="shared" si="1"/>
        <v>62.44</v>
      </c>
      <c r="L45" s="16"/>
    </row>
    <row r="46" spans="1:12" ht="20.25" customHeight="1">
      <c r="A46" s="3">
        <v>44</v>
      </c>
      <c r="B46" s="8">
        <v>180012</v>
      </c>
      <c r="C46" s="9"/>
      <c r="D46" s="9" t="str">
        <f>"2018010207"</f>
        <v>2018010207</v>
      </c>
      <c r="E46" s="9">
        <v>53</v>
      </c>
      <c r="F46" s="9">
        <v>70</v>
      </c>
      <c r="G46" s="9">
        <f t="shared" si="2"/>
        <v>64.9</v>
      </c>
      <c r="H46" s="9" t="s">
        <v>30</v>
      </c>
      <c r="I46" s="4">
        <v>72.7</v>
      </c>
      <c r="J46" s="4">
        <v>73.42</v>
      </c>
      <c r="K46" s="4">
        <f t="shared" si="1"/>
        <v>61.82</v>
      </c>
      <c r="L46" s="16"/>
    </row>
    <row r="47" spans="1:12" ht="20.25" customHeight="1">
      <c r="A47" s="3">
        <v>45</v>
      </c>
      <c r="B47" s="8">
        <v>180012</v>
      </c>
      <c r="C47" s="9"/>
      <c r="D47" s="9" t="str">
        <f>"2018010217"</f>
        <v>2018010217</v>
      </c>
      <c r="E47" s="9">
        <v>50.5</v>
      </c>
      <c r="F47" s="9">
        <v>81</v>
      </c>
      <c r="G47" s="9">
        <f t="shared" si="2"/>
        <v>71.85</v>
      </c>
      <c r="H47" s="9" t="s">
        <v>30</v>
      </c>
      <c r="I47" s="4">
        <v>63.8</v>
      </c>
      <c r="J47" s="4">
        <v>64.43</v>
      </c>
      <c r="K47" s="4">
        <f t="shared" si="1"/>
        <v>61.7</v>
      </c>
      <c r="L47" s="16"/>
    </row>
    <row r="48" spans="1:12" ht="20.25" customHeight="1">
      <c r="A48" s="3">
        <v>46</v>
      </c>
      <c r="B48" s="8">
        <v>180012</v>
      </c>
      <c r="C48" s="9"/>
      <c r="D48" s="9" t="str">
        <f>"2018010323"</f>
        <v>2018010323</v>
      </c>
      <c r="E48" s="9">
        <v>47.5</v>
      </c>
      <c r="F48" s="9">
        <v>68</v>
      </c>
      <c r="G48" s="9">
        <f t="shared" si="2"/>
        <v>61.849999999999994</v>
      </c>
      <c r="H48" s="9" t="s">
        <v>31</v>
      </c>
      <c r="I48" s="4">
        <v>77.6</v>
      </c>
      <c r="J48" s="4">
        <v>76.82</v>
      </c>
      <c r="K48" s="4">
        <f t="shared" si="1"/>
        <v>61.65</v>
      </c>
      <c r="L48" s="16"/>
    </row>
    <row r="49" spans="1:12" ht="20.25" customHeight="1">
      <c r="A49" s="3">
        <v>47</v>
      </c>
      <c r="B49" s="8">
        <v>180012</v>
      </c>
      <c r="C49" s="9"/>
      <c r="D49" s="9" t="str">
        <f>"2018010206"</f>
        <v>2018010206</v>
      </c>
      <c r="E49" s="9">
        <v>53</v>
      </c>
      <c r="F49" s="9">
        <v>74</v>
      </c>
      <c r="G49" s="9">
        <f t="shared" si="2"/>
        <v>67.69999999999999</v>
      </c>
      <c r="H49" s="9" t="s">
        <v>30</v>
      </c>
      <c r="I49" s="4">
        <v>68.4</v>
      </c>
      <c r="J49" s="4">
        <v>69.07</v>
      </c>
      <c r="K49" s="4">
        <f t="shared" si="1"/>
        <v>61.48</v>
      </c>
      <c r="L49" s="16"/>
    </row>
    <row r="50" spans="1:12" ht="20.25" customHeight="1">
      <c r="A50" s="3">
        <v>48</v>
      </c>
      <c r="B50" s="8">
        <v>180012</v>
      </c>
      <c r="C50" s="9"/>
      <c r="D50" s="9" t="str">
        <f>"2018010308"</f>
        <v>2018010308</v>
      </c>
      <c r="E50" s="9">
        <v>60</v>
      </c>
      <c r="F50" s="9">
        <v>66</v>
      </c>
      <c r="G50" s="9">
        <f t="shared" si="2"/>
        <v>64.19999999999999</v>
      </c>
      <c r="H50" s="9" t="s">
        <v>30</v>
      </c>
      <c r="I50" s="4">
        <v>72.4</v>
      </c>
      <c r="J50" s="4">
        <v>73.11</v>
      </c>
      <c r="K50" s="4">
        <f t="shared" si="1"/>
        <v>61.34</v>
      </c>
      <c r="L50" s="16"/>
    </row>
    <row r="51" spans="1:12" ht="20.25" customHeight="1">
      <c r="A51" s="3">
        <v>49</v>
      </c>
      <c r="B51" s="8">
        <v>180012</v>
      </c>
      <c r="C51" s="9"/>
      <c r="D51" s="9" t="str">
        <f>"2018010328"</f>
        <v>2018010328</v>
      </c>
      <c r="E51" s="9">
        <v>55</v>
      </c>
      <c r="F51" s="9">
        <v>86</v>
      </c>
      <c r="G51" s="9">
        <f t="shared" si="2"/>
        <v>76.69999999999999</v>
      </c>
      <c r="H51" s="9"/>
      <c r="I51" s="4">
        <v>0</v>
      </c>
      <c r="J51" s="4">
        <v>0</v>
      </c>
      <c r="K51" s="4">
        <f t="shared" si="1"/>
        <v>38.35</v>
      </c>
      <c r="L51" s="16"/>
    </row>
    <row r="52" spans="1:12" ht="20.25" customHeight="1">
      <c r="A52" s="3">
        <v>50</v>
      </c>
      <c r="B52" s="8">
        <v>180012</v>
      </c>
      <c r="C52" s="9"/>
      <c r="D52" s="9" t="str">
        <f>"2018010309"</f>
        <v>2018010309</v>
      </c>
      <c r="E52" s="9">
        <v>70</v>
      </c>
      <c r="F52" s="9">
        <v>73</v>
      </c>
      <c r="G52" s="9">
        <f t="shared" si="2"/>
        <v>72.1</v>
      </c>
      <c r="H52" s="9"/>
      <c r="I52" s="4">
        <v>0</v>
      </c>
      <c r="J52" s="4">
        <v>0</v>
      </c>
      <c r="K52" s="4">
        <f t="shared" si="1"/>
        <v>36.05</v>
      </c>
      <c r="L52" s="16"/>
    </row>
    <row r="53" spans="1:12" ht="20.25" customHeight="1">
      <c r="A53" s="3">
        <v>51</v>
      </c>
      <c r="B53" s="8">
        <v>180012</v>
      </c>
      <c r="C53" s="9"/>
      <c r="D53" s="9" t="str">
        <f>"2018010220"</f>
        <v>2018010220</v>
      </c>
      <c r="E53" s="9">
        <v>48</v>
      </c>
      <c r="F53" s="9">
        <v>80</v>
      </c>
      <c r="G53" s="9">
        <f t="shared" si="2"/>
        <v>70.4</v>
      </c>
      <c r="H53" s="9"/>
      <c r="I53" s="4">
        <v>0</v>
      </c>
      <c r="J53" s="4">
        <v>0</v>
      </c>
      <c r="K53" s="4">
        <f t="shared" si="1"/>
        <v>35.2</v>
      </c>
      <c r="L53" s="16"/>
    </row>
    <row r="54" spans="1:12" ht="20.25" customHeight="1">
      <c r="A54" s="3">
        <v>52</v>
      </c>
      <c r="B54" s="8">
        <v>180012</v>
      </c>
      <c r="C54" s="9"/>
      <c r="D54" s="9" t="str">
        <f>"2018010325"</f>
        <v>2018010325</v>
      </c>
      <c r="E54" s="9">
        <v>52.5</v>
      </c>
      <c r="F54" s="9">
        <v>78</v>
      </c>
      <c r="G54" s="9">
        <f t="shared" si="2"/>
        <v>70.35</v>
      </c>
      <c r="H54" s="9"/>
      <c r="I54" s="4">
        <v>0</v>
      </c>
      <c r="J54" s="4">
        <v>0</v>
      </c>
      <c r="K54" s="4">
        <f t="shared" si="1"/>
        <v>35.18</v>
      </c>
      <c r="L54" s="16"/>
    </row>
    <row r="55" spans="1:12" ht="20.25" customHeight="1">
      <c r="A55" s="3">
        <v>53</v>
      </c>
      <c r="B55" s="8">
        <v>180012</v>
      </c>
      <c r="C55" s="9"/>
      <c r="D55" s="9" t="str">
        <f>"2018010310"</f>
        <v>2018010310</v>
      </c>
      <c r="E55" s="9">
        <v>44.5</v>
      </c>
      <c r="F55" s="9">
        <v>80</v>
      </c>
      <c r="G55" s="9">
        <f t="shared" si="2"/>
        <v>69.35</v>
      </c>
      <c r="H55" s="9"/>
      <c r="I55" s="4">
        <v>0</v>
      </c>
      <c r="J55" s="4">
        <v>0</v>
      </c>
      <c r="K55" s="4">
        <f t="shared" si="1"/>
        <v>34.68</v>
      </c>
      <c r="L55" s="16"/>
    </row>
    <row r="56" spans="1:12" ht="20.25" customHeight="1">
      <c r="A56" s="3">
        <v>54</v>
      </c>
      <c r="B56" s="8">
        <v>180012</v>
      </c>
      <c r="C56" s="9"/>
      <c r="D56" s="9" t="str">
        <f>"2018013604"</f>
        <v>2018013604</v>
      </c>
      <c r="E56" s="9">
        <v>52.5</v>
      </c>
      <c r="F56" s="9">
        <v>76</v>
      </c>
      <c r="G56" s="9">
        <f t="shared" si="2"/>
        <v>68.94999999999999</v>
      </c>
      <c r="H56" s="9"/>
      <c r="I56" s="4">
        <v>0</v>
      </c>
      <c r="J56" s="4">
        <v>0</v>
      </c>
      <c r="K56" s="4">
        <f t="shared" si="1"/>
        <v>34.48</v>
      </c>
      <c r="L56" s="16"/>
    </row>
    <row r="57" spans="1:12" ht="20.25" customHeight="1">
      <c r="A57" s="3">
        <v>55</v>
      </c>
      <c r="B57" s="8">
        <v>180012</v>
      </c>
      <c r="C57" s="9"/>
      <c r="D57" s="9" t="str">
        <f>"2018013603"</f>
        <v>2018013603</v>
      </c>
      <c r="E57" s="9">
        <v>45</v>
      </c>
      <c r="F57" s="9">
        <v>77</v>
      </c>
      <c r="G57" s="9">
        <f t="shared" si="2"/>
        <v>67.4</v>
      </c>
      <c r="H57" s="9"/>
      <c r="I57" s="4">
        <v>0</v>
      </c>
      <c r="J57" s="4">
        <v>0</v>
      </c>
      <c r="K57" s="4">
        <f t="shared" si="1"/>
        <v>33.7</v>
      </c>
      <c r="L57" s="16"/>
    </row>
    <row r="58" spans="1:12" ht="20.25" customHeight="1">
      <c r="A58" s="3">
        <v>56</v>
      </c>
      <c r="B58" s="8">
        <v>180012</v>
      </c>
      <c r="C58" s="9"/>
      <c r="D58" s="9" t="str">
        <f>"2018010208"</f>
        <v>2018010208</v>
      </c>
      <c r="E58" s="9">
        <v>58</v>
      </c>
      <c r="F58" s="9">
        <v>70</v>
      </c>
      <c r="G58" s="9">
        <f t="shared" si="2"/>
        <v>66.4</v>
      </c>
      <c r="H58" s="9"/>
      <c r="I58" s="4">
        <v>0</v>
      </c>
      <c r="J58" s="4">
        <v>0</v>
      </c>
      <c r="K58" s="4">
        <f t="shared" si="1"/>
        <v>33.2</v>
      </c>
      <c r="L58" s="16"/>
    </row>
    <row r="59" spans="1:12" ht="20.25" customHeight="1">
      <c r="A59" s="3">
        <v>57</v>
      </c>
      <c r="B59" s="8">
        <v>180012</v>
      </c>
      <c r="C59" s="9"/>
      <c r="D59" s="9" t="str">
        <f>"2018013602"</f>
        <v>2018013602</v>
      </c>
      <c r="E59" s="9">
        <v>52</v>
      </c>
      <c r="F59" s="9">
        <v>70</v>
      </c>
      <c r="G59" s="9">
        <f t="shared" si="2"/>
        <v>64.6</v>
      </c>
      <c r="H59" s="9"/>
      <c r="I59" s="4">
        <v>0</v>
      </c>
      <c r="J59" s="4">
        <v>0</v>
      </c>
      <c r="K59" s="4">
        <f t="shared" si="1"/>
        <v>32.3</v>
      </c>
      <c r="L59" s="16"/>
    </row>
    <row r="60" spans="1:12" ht="20.25" customHeight="1">
      <c r="A60" s="3">
        <v>58</v>
      </c>
      <c r="B60" s="8">
        <v>180012</v>
      </c>
      <c r="C60" s="9"/>
      <c r="D60" s="9" t="str">
        <f>"2018010223"</f>
        <v>2018010223</v>
      </c>
      <c r="E60" s="9">
        <v>42.5</v>
      </c>
      <c r="F60" s="9">
        <v>70</v>
      </c>
      <c r="G60" s="9">
        <f t="shared" si="2"/>
        <v>61.75</v>
      </c>
      <c r="H60" s="9"/>
      <c r="I60" s="4">
        <v>0</v>
      </c>
      <c r="J60" s="4">
        <v>0</v>
      </c>
      <c r="K60" s="4">
        <f t="shared" si="1"/>
        <v>30.88</v>
      </c>
      <c r="L60" s="16"/>
    </row>
    <row r="61" spans="1:12" ht="20.25" customHeight="1">
      <c r="A61" s="3">
        <v>59</v>
      </c>
      <c r="B61" s="8">
        <v>180012</v>
      </c>
      <c r="C61" s="9"/>
      <c r="D61" s="9" t="str">
        <f>"2018010126"</f>
        <v>2018010126</v>
      </c>
      <c r="E61" s="9">
        <v>45.5</v>
      </c>
      <c r="F61" s="9">
        <v>67</v>
      </c>
      <c r="G61" s="9">
        <f t="shared" si="2"/>
        <v>60.55</v>
      </c>
      <c r="H61" s="9"/>
      <c r="I61" s="4">
        <v>0</v>
      </c>
      <c r="J61" s="4">
        <v>0</v>
      </c>
      <c r="K61" s="4">
        <f t="shared" si="1"/>
        <v>30.28</v>
      </c>
      <c r="L61" s="17"/>
    </row>
    <row r="62" spans="1:12" ht="20.25" customHeight="1">
      <c r="A62" s="3">
        <v>60</v>
      </c>
      <c r="B62" s="8">
        <v>180017</v>
      </c>
      <c r="C62" s="9"/>
      <c r="D62" s="9" t="str">
        <f>"2018013611"</f>
        <v>2018013611</v>
      </c>
      <c r="E62" s="9">
        <v>73</v>
      </c>
      <c r="F62" s="9">
        <v>73</v>
      </c>
      <c r="G62" s="9">
        <f t="shared" si="2"/>
        <v>73</v>
      </c>
      <c r="H62" s="9"/>
      <c r="I62" s="3">
        <v>76.4</v>
      </c>
      <c r="J62" s="3">
        <f>I62</f>
        <v>76.4</v>
      </c>
      <c r="K62" s="4">
        <f t="shared" si="1"/>
        <v>67.06</v>
      </c>
      <c r="L62" s="4"/>
    </row>
    <row r="63" spans="1:12" ht="20.25" customHeight="1">
      <c r="A63" s="3">
        <v>61</v>
      </c>
      <c r="B63" s="8">
        <v>180017</v>
      </c>
      <c r="C63" s="9"/>
      <c r="D63" s="9" t="str">
        <f>"2018013607"</f>
        <v>2018013607</v>
      </c>
      <c r="E63" s="9">
        <v>72.5</v>
      </c>
      <c r="F63" s="9">
        <v>75</v>
      </c>
      <c r="G63" s="9">
        <f t="shared" si="2"/>
        <v>74.25</v>
      </c>
      <c r="H63" s="9"/>
      <c r="I63" s="3">
        <v>71.6</v>
      </c>
      <c r="J63" s="3">
        <f>I63</f>
        <v>71.6</v>
      </c>
      <c r="K63" s="4">
        <f t="shared" si="1"/>
        <v>65.77</v>
      </c>
      <c r="L63" s="4"/>
    </row>
    <row r="64" spans="1:12" ht="20.25" customHeight="1">
      <c r="A64" s="3">
        <v>62</v>
      </c>
      <c r="B64" s="8">
        <v>180017</v>
      </c>
      <c r="C64" s="9"/>
      <c r="D64" s="9" t="str">
        <f>"2018013609"</f>
        <v>2018013609</v>
      </c>
      <c r="E64" s="9">
        <v>36.5</v>
      </c>
      <c r="F64" s="9">
        <v>76</v>
      </c>
      <c r="G64" s="9">
        <f t="shared" si="2"/>
        <v>64.14999999999999</v>
      </c>
      <c r="H64" s="9"/>
      <c r="I64" s="4">
        <v>0</v>
      </c>
      <c r="J64" s="4">
        <v>0</v>
      </c>
      <c r="K64" s="4">
        <f t="shared" si="1"/>
        <v>32.08</v>
      </c>
      <c r="L64" s="4"/>
    </row>
    <row r="65" spans="1:12" ht="20.25" customHeight="1">
      <c r="A65" s="3">
        <v>63</v>
      </c>
      <c r="B65" s="8">
        <v>180023</v>
      </c>
      <c r="C65" s="9"/>
      <c r="D65" s="9" t="str">
        <f>"2018013620"</f>
        <v>2018013620</v>
      </c>
      <c r="E65" s="9">
        <v>44</v>
      </c>
      <c r="F65" s="9">
        <v>75</v>
      </c>
      <c r="G65" s="9">
        <f t="shared" si="2"/>
        <v>65.7</v>
      </c>
      <c r="H65" s="9"/>
      <c r="I65" s="3">
        <v>74.2</v>
      </c>
      <c r="J65" s="3">
        <f>I65</f>
        <v>74.2</v>
      </c>
      <c r="K65" s="4">
        <f t="shared" si="1"/>
        <v>62.53</v>
      </c>
      <c r="L65" s="4"/>
    </row>
    <row r="66" spans="1:12" ht="20.25" customHeight="1">
      <c r="A66" s="3">
        <v>64</v>
      </c>
      <c r="B66" s="8">
        <v>180023</v>
      </c>
      <c r="C66" s="9"/>
      <c r="D66" s="9" t="str">
        <f>"2018013622"</f>
        <v>2018013622</v>
      </c>
      <c r="E66" s="9">
        <v>62</v>
      </c>
      <c r="F66" s="9">
        <v>74</v>
      </c>
      <c r="G66" s="9">
        <f t="shared" si="2"/>
        <v>70.39999999999999</v>
      </c>
      <c r="H66" s="9"/>
      <c r="I66" s="4">
        <v>0</v>
      </c>
      <c r="J66" s="4">
        <v>0</v>
      </c>
      <c r="K66" s="4">
        <f t="shared" si="1"/>
        <v>35.2</v>
      </c>
      <c r="L66" s="4"/>
    </row>
    <row r="67" spans="1:12" ht="20.25" customHeight="1">
      <c r="A67" s="3">
        <v>65</v>
      </c>
      <c r="B67" s="8">
        <v>180024</v>
      </c>
      <c r="C67" s="9"/>
      <c r="D67" s="9" t="str">
        <f>"2018013708"</f>
        <v>2018013708</v>
      </c>
      <c r="E67" s="9">
        <v>66.5</v>
      </c>
      <c r="F67" s="9">
        <v>100</v>
      </c>
      <c r="G67" s="9">
        <f t="shared" si="2"/>
        <v>89.95</v>
      </c>
      <c r="H67" s="9"/>
      <c r="I67" s="3">
        <v>79.2</v>
      </c>
      <c r="J67" s="3">
        <f>I67</f>
        <v>79.2</v>
      </c>
      <c r="K67" s="4">
        <f t="shared" si="1"/>
        <v>76.66</v>
      </c>
      <c r="L67" s="4"/>
    </row>
    <row r="68" spans="1:12" ht="20.25" customHeight="1">
      <c r="A68" s="3">
        <v>66</v>
      </c>
      <c r="B68" s="8">
        <v>180024</v>
      </c>
      <c r="C68" s="9"/>
      <c r="D68" s="9" t="str">
        <f>"2018013702"</f>
        <v>2018013702</v>
      </c>
      <c r="E68" s="9">
        <v>70.5</v>
      </c>
      <c r="F68" s="9">
        <v>87</v>
      </c>
      <c r="G68" s="9">
        <f aca="true" t="shared" si="3" ref="G68:G78">E68*0.3+F68*0.7</f>
        <v>82.05</v>
      </c>
      <c r="H68" s="9"/>
      <c r="I68" s="4">
        <v>0</v>
      </c>
      <c r="J68" s="4">
        <v>0</v>
      </c>
      <c r="K68" s="4">
        <f aca="true" t="shared" si="4" ref="K68:K131">ROUND(G68/1.2*0.6+J68*0.4,2)</f>
        <v>41.03</v>
      </c>
      <c r="L68" s="4"/>
    </row>
    <row r="69" spans="1:12" ht="20.25" customHeight="1">
      <c r="A69" s="3">
        <v>67</v>
      </c>
      <c r="B69" s="8">
        <v>180024</v>
      </c>
      <c r="C69" s="9"/>
      <c r="D69" s="9" t="str">
        <f>"2018013705"</f>
        <v>2018013705</v>
      </c>
      <c r="E69" s="9">
        <v>45</v>
      </c>
      <c r="F69" s="9">
        <v>87</v>
      </c>
      <c r="G69" s="9">
        <f t="shared" si="3"/>
        <v>74.4</v>
      </c>
      <c r="H69" s="9"/>
      <c r="I69" s="4">
        <v>0</v>
      </c>
      <c r="J69" s="4">
        <v>0</v>
      </c>
      <c r="K69" s="4">
        <f t="shared" si="4"/>
        <v>37.2</v>
      </c>
      <c r="L69" s="4"/>
    </row>
    <row r="70" spans="1:12" ht="20.25" customHeight="1">
      <c r="A70" s="3">
        <v>68</v>
      </c>
      <c r="B70" s="8">
        <v>180025</v>
      </c>
      <c r="C70" s="9"/>
      <c r="D70" s="9" t="str">
        <f>"2018013901"</f>
        <v>2018013901</v>
      </c>
      <c r="E70" s="9">
        <v>54.5</v>
      </c>
      <c r="F70" s="9">
        <v>88</v>
      </c>
      <c r="G70" s="9">
        <f t="shared" si="3"/>
        <v>77.94999999999999</v>
      </c>
      <c r="H70" s="9"/>
      <c r="I70" s="3">
        <v>75.6</v>
      </c>
      <c r="J70" s="3">
        <f aca="true" t="shared" si="5" ref="J70:J77">I70</f>
        <v>75.6</v>
      </c>
      <c r="K70" s="4">
        <f t="shared" si="4"/>
        <v>69.22</v>
      </c>
      <c r="L70" s="4"/>
    </row>
    <row r="71" spans="1:12" ht="20.25" customHeight="1">
      <c r="A71" s="3">
        <v>69</v>
      </c>
      <c r="B71" s="8">
        <v>180027</v>
      </c>
      <c r="C71" s="9"/>
      <c r="D71" s="9" t="str">
        <f>"2018010422"</f>
        <v>2018010422</v>
      </c>
      <c r="E71" s="9">
        <v>47</v>
      </c>
      <c r="F71" s="9">
        <v>88</v>
      </c>
      <c r="G71" s="9">
        <f t="shared" si="3"/>
        <v>75.69999999999999</v>
      </c>
      <c r="H71" s="9"/>
      <c r="I71" s="3">
        <v>80</v>
      </c>
      <c r="J71" s="3">
        <f t="shared" si="5"/>
        <v>80</v>
      </c>
      <c r="K71" s="4">
        <f t="shared" si="4"/>
        <v>69.85</v>
      </c>
      <c r="L71" s="4"/>
    </row>
    <row r="72" spans="1:12" ht="20.25" customHeight="1">
      <c r="A72" s="3">
        <v>70</v>
      </c>
      <c r="B72" s="8">
        <v>180027</v>
      </c>
      <c r="C72" s="9"/>
      <c r="D72" s="9" t="str">
        <f>"2018010405"</f>
        <v>2018010405</v>
      </c>
      <c r="E72" s="9">
        <v>70.5</v>
      </c>
      <c r="F72" s="9">
        <v>73</v>
      </c>
      <c r="G72" s="9">
        <f t="shared" si="3"/>
        <v>72.25</v>
      </c>
      <c r="H72" s="9"/>
      <c r="I72" s="3">
        <v>82.2</v>
      </c>
      <c r="J72" s="3">
        <f t="shared" si="5"/>
        <v>82.2</v>
      </c>
      <c r="K72" s="4">
        <f t="shared" si="4"/>
        <v>69.01</v>
      </c>
      <c r="L72" s="4"/>
    </row>
    <row r="73" spans="1:12" ht="20.25" customHeight="1">
      <c r="A73" s="3">
        <v>71</v>
      </c>
      <c r="B73" s="8">
        <v>180027</v>
      </c>
      <c r="C73" s="9"/>
      <c r="D73" s="9" t="str">
        <f>"2018010427"</f>
        <v>2018010427</v>
      </c>
      <c r="E73" s="9">
        <v>48</v>
      </c>
      <c r="F73" s="9">
        <v>87</v>
      </c>
      <c r="G73" s="9">
        <f t="shared" si="3"/>
        <v>75.3</v>
      </c>
      <c r="H73" s="9"/>
      <c r="I73" s="3">
        <v>78.2</v>
      </c>
      <c r="J73" s="3">
        <f t="shared" si="5"/>
        <v>78.2</v>
      </c>
      <c r="K73" s="4">
        <f t="shared" si="4"/>
        <v>68.93</v>
      </c>
      <c r="L73" s="4"/>
    </row>
    <row r="74" spans="1:12" ht="20.25" customHeight="1">
      <c r="A74" s="3">
        <v>72</v>
      </c>
      <c r="B74" s="8">
        <v>180027</v>
      </c>
      <c r="C74" s="9"/>
      <c r="D74" s="9" t="str">
        <f>"2018010419"</f>
        <v>2018010419</v>
      </c>
      <c r="E74" s="9">
        <v>70</v>
      </c>
      <c r="F74" s="9">
        <v>78</v>
      </c>
      <c r="G74" s="9">
        <f t="shared" si="3"/>
        <v>75.6</v>
      </c>
      <c r="H74" s="9"/>
      <c r="I74" s="3">
        <v>77</v>
      </c>
      <c r="J74" s="3">
        <f t="shared" si="5"/>
        <v>77</v>
      </c>
      <c r="K74" s="4">
        <f t="shared" si="4"/>
        <v>68.6</v>
      </c>
      <c r="L74" s="4"/>
    </row>
    <row r="75" spans="1:12" ht="20.25" customHeight="1">
      <c r="A75" s="3">
        <v>73</v>
      </c>
      <c r="B75" s="8">
        <v>180027</v>
      </c>
      <c r="C75" s="9"/>
      <c r="D75" s="9" t="str">
        <f>"2018010417"</f>
        <v>2018010417</v>
      </c>
      <c r="E75" s="9">
        <v>53.5</v>
      </c>
      <c r="F75" s="9">
        <v>80</v>
      </c>
      <c r="G75" s="9">
        <f t="shared" si="3"/>
        <v>72.05</v>
      </c>
      <c r="H75" s="9"/>
      <c r="I75" s="3">
        <v>78.2</v>
      </c>
      <c r="J75" s="3">
        <f t="shared" si="5"/>
        <v>78.2</v>
      </c>
      <c r="K75" s="4">
        <f t="shared" si="4"/>
        <v>67.31</v>
      </c>
      <c r="L75" s="4"/>
    </row>
    <row r="76" spans="1:12" ht="20.25" customHeight="1">
      <c r="A76" s="3">
        <v>74</v>
      </c>
      <c r="B76" s="8">
        <v>180027</v>
      </c>
      <c r="C76" s="9"/>
      <c r="D76" s="9" t="str">
        <f>"2018010402"</f>
        <v>2018010402</v>
      </c>
      <c r="E76" s="9">
        <v>45</v>
      </c>
      <c r="F76" s="9">
        <v>84</v>
      </c>
      <c r="G76" s="9">
        <f t="shared" si="3"/>
        <v>72.3</v>
      </c>
      <c r="H76" s="9"/>
      <c r="I76" s="3">
        <v>76.8</v>
      </c>
      <c r="J76" s="3">
        <f t="shared" si="5"/>
        <v>76.8</v>
      </c>
      <c r="K76" s="4">
        <f t="shared" si="4"/>
        <v>66.87</v>
      </c>
      <c r="L76" s="4"/>
    </row>
    <row r="77" spans="1:12" ht="20.25" customHeight="1">
      <c r="A77" s="3">
        <v>75</v>
      </c>
      <c r="B77" s="8">
        <v>180027</v>
      </c>
      <c r="C77" s="9"/>
      <c r="D77" s="9" t="str">
        <f>"2018010406"</f>
        <v>2018010406</v>
      </c>
      <c r="E77" s="9">
        <v>60.5</v>
      </c>
      <c r="F77" s="9">
        <v>75</v>
      </c>
      <c r="G77" s="9">
        <f t="shared" si="3"/>
        <v>70.65</v>
      </c>
      <c r="H77" s="9"/>
      <c r="I77" s="3">
        <v>73.6</v>
      </c>
      <c r="J77" s="3">
        <f t="shared" si="5"/>
        <v>73.6</v>
      </c>
      <c r="K77" s="4">
        <f t="shared" si="4"/>
        <v>64.77</v>
      </c>
      <c r="L77" s="4"/>
    </row>
    <row r="78" spans="1:12" ht="20.25" customHeight="1">
      <c r="A78" s="3">
        <v>76</v>
      </c>
      <c r="B78" s="8">
        <v>180027</v>
      </c>
      <c r="C78" s="9"/>
      <c r="D78" s="9" t="str">
        <f>"2018010425"</f>
        <v>2018010425</v>
      </c>
      <c r="E78" s="9">
        <v>53</v>
      </c>
      <c r="F78" s="9">
        <v>78</v>
      </c>
      <c r="G78" s="9">
        <f t="shared" si="3"/>
        <v>70.5</v>
      </c>
      <c r="H78" s="9"/>
      <c r="I78" s="4">
        <v>0</v>
      </c>
      <c r="J78" s="4">
        <v>0</v>
      </c>
      <c r="K78" s="4">
        <f t="shared" si="4"/>
        <v>35.25</v>
      </c>
      <c r="L78" s="4"/>
    </row>
    <row r="79" spans="1:12" ht="20.25" customHeight="1">
      <c r="A79" s="3">
        <v>77</v>
      </c>
      <c r="B79" s="8">
        <v>180027</v>
      </c>
      <c r="C79" s="12"/>
      <c r="D79" s="12" t="s">
        <v>0</v>
      </c>
      <c r="E79" s="12">
        <v>39.5</v>
      </c>
      <c r="F79" s="12">
        <v>82</v>
      </c>
      <c r="G79" s="12">
        <v>69.25</v>
      </c>
      <c r="H79" s="9"/>
      <c r="I79" s="4">
        <v>0</v>
      </c>
      <c r="J79" s="4">
        <v>0</v>
      </c>
      <c r="K79" s="4">
        <f t="shared" si="4"/>
        <v>34.63</v>
      </c>
      <c r="L79" s="4"/>
    </row>
    <row r="80" spans="1:12" ht="20.25" customHeight="1">
      <c r="A80" s="3">
        <v>78</v>
      </c>
      <c r="B80" s="8">
        <v>180028</v>
      </c>
      <c r="C80" s="9"/>
      <c r="D80" s="9" t="str">
        <f>"2018013802"</f>
        <v>2018013802</v>
      </c>
      <c r="E80" s="9">
        <v>53.5</v>
      </c>
      <c r="F80" s="9">
        <v>77</v>
      </c>
      <c r="G80" s="9">
        <f aca="true" t="shared" si="6" ref="G80:G111">E80*0.3+F80*0.7</f>
        <v>69.95</v>
      </c>
      <c r="H80" s="9"/>
      <c r="I80" s="3">
        <v>76.6</v>
      </c>
      <c r="J80" s="3">
        <f>I80</f>
        <v>76.6</v>
      </c>
      <c r="K80" s="4">
        <f t="shared" si="4"/>
        <v>65.62</v>
      </c>
      <c r="L80" s="4"/>
    </row>
    <row r="81" spans="1:12" ht="20.25" customHeight="1">
      <c r="A81" s="3">
        <v>79</v>
      </c>
      <c r="B81" s="8">
        <v>180028</v>
      </c>
      <c r="C81" s="9"/>
      <c r="D81" s="9" t="str">
        <f>"2018013807"</f>
        <v>2018013807</v>
      </c>
      <c r="E81" s="9">
        <v>49.5</v>
      </c>
      <c r="F81" s="9">
        <v>79</v>
      </c>
      <c r="G81" s="9">
        <f t="shared" si="6"/>
        <v>70.14999999999999</v>
      </c>
      <c r="H81" s="9"/>
      <c r="I81" s="3">
        <v>74.4</v>
      </c>
      <c r="J81" s="3">
        <f>I81</f>
        <v>74.4</v>
      </c>
      <c r="K81" s="4">
        <f t="shared" si="4"/>
        <v>64.84</v>
      </c>
      <c r="L81" s="4"/>
    </row>
    <row r="82" spans="1:12" ht="20.25" customHeight="1">
      <c r="A82" s="3">
        <v>80</v>
      </c>
      <c r="B82" s="8">
        <v>180028</v>
      </c>
      <c r="C82" s="9"/>
      <c r="D82" s="9" t="str">
        <f>"2018013803"</f>
        <v>2018013803</v>
      </c>
      <c r="E82" s="9">
        <v>45</v>
      </c>
      <c r="F82" s="9">
        <v>80</v>
      </c>
      <c r="G82" s="9">
        <f t="shared" si="6"/>
        <v>69.5</v>
      </c>
      <c r="H82" s="9"/>
      <c r="I82" s="3">
        <v>73.8</v>
      </c>
      <c r="J82" s="3">
        <f>I82</f>
        <v>73.8</v>
      </c>
      <c r="K82" s="4">
        <f t="shared" si="4"/>
        <v>64.27</v>
      </c>
      <c r="L82" s="4"/>
    </row>
    <row r="83" spans="1:12" ht="20.25" customHeight="1">
      <c r="A83" s="3">
        <v>81</v>
      </c>
      <c r="B83" s="8">
        <v>180028</v>
      </c>
      <c r="C83" s="9"/>
      <c r="D83" s="9" t="str">
        <f>"2018013801"</f>
        <v>2018013801</v>
      </c>
      <c r="E83" s="9">
        <v>62</v>
      </c>
      <c r="F83" s="9">
        <v>73</v>
      </c>
      <c r="G83" s="9">
        <f t="shared" si="6"/>
        <v>69.69999999999999</v>
      </c>
      <c r="H83" s="9"/>
      <c r="I83" s="4">
        <v>0</v>
      </c>
      <c r="J83" s="4">
        <v>0</v>
      </c>
      <c r="K83" s="4">
        <f t="shared" si="4"/>
        <v>34.85</v>
      </c>
      <c r="L83" s="4"/>
    </row>
    <row r="84" spans="1:12" ht="20.25" customHeight="1">
      <c r="A84" s="3">
        <v>82</v>
      </c>
      <c r="B84" s="8">
        <v>180028</v>
      </c>
      <c r="C84" s="9"/>
      <c r="D84" s="9" t="str">
        <f>"2018013804"</f>
        <v>2018013804</v>
      </c>
      <c r="E84" s="9">
        <v>47</v>
      </c>
      <c r="F84" s="9">
        <v>75</v>
      </c>
      <c r="G84" s="9">
        <f t="shared" si="6"/>
        <v>66.6</v>
      </c>
      <c r="H84" s="9"/>
      <c r="I84" s="4">
        <v>0</v>
      </c>
      <c r="J84" s="4">
        <v>0</v>
      </c>
      <c r="K84" s="4">
        <f t="shared" si="4"/>
        <v>33.3</v>
      </c>
      <c r="L84" s="4"/>
    </row>
    <row r="85" spans="1:12" ht="20.25" customHeight="1">
      <c r="A85" s="3">
        <v>83</v>
      </c>
      <c r="B85" s="8">
        <v>180029</v>
      </c>
      <c r="C85" s="9"/>
      <c r="D85" s="9" t="str">
        <f>"2018013811"</f>
        <v>2018013811</v>
      </c>
      <c r="E85" s="9">
        <v>73</v>
      </c>
      <c r="F85" s="9">
        <v>73</v>
      </c>
      <c r="G85" s="9">
        <f t="shared" si="6"/>
        <v>73</v>
      </c>
      <c r="H85" s="9"/>
      <c r="I85" s="3">
        <v>72.4</v>
      </c>
      <c r="J85" s="3">
        <f>I85</f>
        <v>72.4</v>
      </c>
      <c r="K85" s="4">
        <f t="shared" si="4"/>
        <v>65.46</v>
      </c>
      <c r="L85" s="4"/>
    </row>
    <row r="86" spans="1:12" ht="20.25" customHeight="1">
      <c r="A86" s="3">
        <v>84</v>
      </c>
      <c r="B86" s="8">
        <v>180030</v>
      </c>
      <c r="C86" s="9"/>
      <c r="D86" s="9" t="str">
        <f>"2018013718"</f>
        <v>2018013718</v>
      </c>
      <c r="E86" s="9">
        <v>60.5</v>
      </c>
      <c r="F86" s="9">
        <v>89</v>
      </c>
      <c r="G86" s="9">
        <f t="shared" si="6"/>
        <v>80.44999999999999</v>
      </c>
      <c r="H86" s="9"/>
      <c r="I86" s="4">
        <v>81.6</v>
      </c>
      <c r="J86" s="4">
        <f>I86</f>
        <v>81.6</v>
      </c>
      <c r="K86" s="4">
        <f t="shared" si="4"/>
        <v>72.87</v>
      </c>
      <c r="L86" s="4"/>
    </row>
    <row r="87" spans="1:12" ht="20.25" customHeight="1">
      <c r="A87" s="3">
        <v>85</v>
      </c>
      <c r="B87" s="8">
        <v>180030</v>
      </c>
      <c r="C87" s="9"/>
      <c r="D87" s="9" t="str">
        <f>"2018013716"</f>
        <v>2018013716</v>
      </c>
      <c r="E87" s="9">
        <v>68</v>
      </c>
      <c r="F87" s="9">
        <v>81</v>
      </c>
      <c r="G87" s="9">
        <f t="shared" si="6"/>
        <v>77.1</v>
      </c>
      <c r="H87" s="9"/>
      <c r="I87" s="4">
        <v>68.2</v>
      </c>
      <c r="J87" s="4">
        <f>I87</f>
        <v>68.2</v>
      </c>
      <c r="K87" s="4">
        <f t="shared" si="4"/>
        <v>65.83</v>
      </c>
      <c r="L87" s="4"/>
    </row>
    <row r="88" spans="1:12" ht="20.25" customHeight="1">
      <c r="A88" s="3">
        <v>86</v>
      </c>
      <c r="B88" s="8">
        <v>180030</v>
      </c>
      <c r="C88" s="9"/>
      <c r="D88" s="9" t="str">
        <f>"2018013729"</f>
        <v>2018013729</v>
      </c>
      <c r="E88" s="9">
        <v>73.5</v>
      </c>
      <c r="F88" s="9">
        <v>83</v>
      </c>
      <c r="G88" s="9">
        <f t="shared" si="6"/>
        <v>80.14999999999999</v>
      </c>
      <c r="H88" s="9"/>
      <c r="I88" s="4">
        <v>0</v>
      </c>
      <c r="J88" s="4">
        <v>0</v>
      </c>
      <c r="K88" s="4">
        <f t="shared" si="4"/>
        <v>40.08</v>
      </c>
      <c r="L88" s="4"/>
    </row>
    <row r="89" spans="1:12" ht="20.25" customHeight="1">
      <c r="A89" s="3">
        <v>87</v>
      </c>
      <c r="B89" s="8">
        <v>180032</v>
      </c>
      <c r="C89" s="9"/>
      <c r="D89" s="9" t="str">
        <f>"2018010514"</f>
        <v>2018010514</v>
      </c>
      <c r="E89" s="9">
        <v>75.5</v>
      </c>
      <c r="F89" s="9">
        <v>104</v>
      </c>
      <c r="G89" s="9">
        <f t="shared" si="6"/>
        <v>95.44999999999999</v>
      </c>
      <c r="H89" s="9"/>
      <c r="I89" s="4">
        <v>77</v>
      </c>
      <c r="J89" s="4">
        <f aca="true" t="shared" si="7" ref="J89:J96">I89</f>
        <v>77</v>
      </c>
      <c r="K89" s="4">
        <f t="shared" si="4"/>
        <v>78.53</v>
      </c>
      <c r="L89" s="4"/>
    </row>
    <row r="90" spans="1:12" ht="20.25" customHeight="1">
      <c r="A90" s="3">
        <v>88</v>
      </c>
      <c r="B90" s="8">
        <v>180032</v>
      </c>
      <c r="C90" s="9"/>
      <c r="D90" s="9" t="str">
        <f>"2018010511"</f>
        <v>2018010511</v>
      </c>
      <c r="E90" s="9">
        <v>56</v>
      </c>
      <c r="F90" s="9">
        <v>107</v>
      </c>
      <c r="G90" s="9">
        <f t="shared" si="6"/>
        <v>91.69999999999999</v>
      </c>
      <c r="H90" s="9"/>
      <c r="I90" s="4">
        <v>81</v>
      </c>
      <c r="J90" s="4">
        <f t="shared" si="7"/>
        <v>81</v>
      </c>
      <c r="K90" s="4">
        <f t="shared" si="4"/>
        <v>78.25</v>
      </c>
      <c r="L90" s="4"/>
    </row>
    <row r="91" spans="1:12" ht="20.25" customHeight="1">
      <c r="A91" s="3">
        <v>89</v>
      </c>
      <c r="B91" s="8">
        <v>180032</v>
      </c>
      <c r="C91" s="9"/>
      <c r="D91" s="9" t="str">
        <f>"2018010508"</f>
        <v>2018010508</v>
      </c>
      <c r="E91" s="9">
        <v>55</v>
      </c>
      <c r="F91" s="9">
        <v>100</v>
      </c>
      <c r="G91" s="9">
        <f t="shared" si="6"/>
        <v>86.5</v>
      </c>
      <c r="H91" s="9"/>
      <c r="I91" s="4">
        <v>74.6</v>
      </c>
      <c r="J91" s="4">
        <f t="shared" si="7"/>
        <v>74.6</v>
      </c>
      <c r="K91" s="4">
        <f t="shared" si="4"/>
        <v>73.09</v>
      </c>
      <c r="L91" s="4"/>
    </row>
    <row r="92" spans="1:12" ht="20.25" customHeight="1">
      <c r="A92" s="3">
        <v>90</v>
      </c>
      <c r="B92" s="8">
        <v>180032</v>
      </c>
      <c r="C92" s="9"/>
      <c r="D92" s="9" t="str">
        <f>"2018010509"</f>
        <v>2018010509</v>
      </c>
      <c r="E92" s="9">
        <v>62.5</v>
      </c>
      <c r="F92" s="9">
        <v>81</v>
      </c>
      <c r="G92" s="9">
        <f t="shared" si="6"/>
        <v>75.44999999999999</v>
      </c>
      <c r="H92" s="9"/>
      <c r="I92" s="4">
        <v>83</v>
      </c>
      <c r="J92" s="4">
        <f t="shared" si="7"/>
        <v>83</v>
      </c>
      <c r="K92" s="4">
        <f t="shared" si="4"/>
        <v>70.93</v>
      </c>
      <c r="L92" s="4"/>
    </row>
    <row r="93" spans="1:12" ht="20.25" customHeight="1">
      <c r="A93" s="3">
        <v>91</v>
      </c>
      <c r="B93" s="8">
        <v>180032</v>
      </c>
      <c r="C93" s="9"/>
      <c r="D93" s="9" t="str">
        <f>"2018010517"</f>
        <v>2018010517</v>
      </c>
      <c r="E93" s="9">
        <v>41.5</v>
      </c>
      <c r="F93" s="9">
        <v>96</v>
      </c>
      <c r="G93" s="9">
        <f t="shared" si="6"/>
        <v>79.64999999999999</v>
      </c>
      <c r="H93" s="9"/>
      <c r="I93" s="4">
        <v>77.2</v>
      </c>
      <c r="J93" s="4">
        <f t="shared" si="7"/>
        <v>77.2</v>
      </c>
      <c r="K93" s="4">
        <f t="shared" si="4"/>
        <v>70.71</v>
      </c>
      <c r="L93" s="4"/>
    </row>
    <row r="94" spans="1:12" ht="20.25" customHeight="1">
      <c r="A94" s="3">
        <v>92</v>
      </c>
      <c r="B94" s="8">
        <v>180032</v>
      </c>
      <c r="C94" s="9"/>
      <c r="D94" s="9" t="str">
        <f>"2018010506"</f>
        <v>2018010506</v>
      </c>
      <c r="E94" s="9">
        <v>49.5</v>
      </c>
      <c r="F94" s="9">
        <v>100</v>
      </c>
      <c r="G94" s="9">
        <f t="shared" si="6"/>
        <v>84.85</v>
      </c>
      <c r="H94" s="9"/>
      <c r="I94" s="4">
        <v>64.6</v>
      </c>
      <c r="J94" s="4">
        <f t="shared" si="7"/>
        <v>64.6</v>
      </c>
      <c r="K94" s="4">
        <f t="shared" si="4"/>
        <v>68.27</v>
      </c>
      <c r="L94" s="4"/>
    </row>
    <row r="95" spans="1:12" ht="20.25" customHeight="1">
      <c r="A95" s="3">
        <v>93</v>
      </c>
      <c r="B95" s="8">
        <v>180032</v>
      </c>
      <c r="C95" s="9"/>
      <c r="D95" s="9" t="str">
        <f>"2018010522"</f>
        <v>2018010522</v>
      </c>
      <c r="E95" s="9">
        <v>53</v>
      </c>
      <c r="F95" s="9">
        <v>87</v>
      </c>
      <c r="G95" s="9">
        <f t="shared" si="6"/>
        <v>76.8</v>
      </c>
      <c r="H95" s="9"/>
      <c r="I95" s="4">
        <v>72.8</v>
      </c>
      <c r="J95" s="4">
        <f t="shared" si="7"/>
        <v>72.8</v>
      </c>
      <c r="K95" s="4">
        <f t="shared" si="4"/>
        <v>67.52</v>
      </c>
      <c r="L95" s="4"/>
    </row>
    <row r="96" spans="1:12" ht="20.25" customHeight="1">
      <c r="A96" s="3">
        <v>94</v>
      </c>
      <c r="B96" s="8">
        <v>180032</v>
      </c>
      <c r="C96" s="9"/>
      <c r="D96" s="9" t="str">
        <f>"2018010513"</f>
        <v>2018010513</v>
      </c>
      <c r="E96" s="9">
        <v>60</v>
      </c>
      <c r="F96" s="9">
        <v>78</v>
      </c>
      <c r="G96" s="9">
        <f t="shared" si="6"/>
        <v>72.6</v>
      </c>
      <c r="H96" s="9"/>
      <c r="I96" s="4">
        <v>72.8</v>
      </c>
      <c r="J96" s="4">
        <f t="shared" si="7"/>
        <v>72.8</v>
      </c>
      <c r="K96" s="4">
        <f t="shared" si="4"/>
        <v>65.42</v>
      </c>
      <c r="L96" s="4"/>
    </row>
    <row r="97" spans="1:12" ht="20.25" customHeight="1">
      <c r="A97" s="3">
        <v>95</v>
      </c>
      <c r="B97" s="8">
        <v>180032</v>
      </c>
      <c r="C97" s="9"/>
      <c r="D97" s="9" t="str">
        <f>"2018010505"</f>
        <v>2018010505</v>
      </c>
      <c r="E97" s="9">
        <v>42</v>
      </c>
      <c r="F97" s="9">
        <v>107</v>
      </c>
      <c r="G97" s="9">
        <f t="shared" si="6"/>
        <v>87.49999999999999</v>
      </c>
      <c r="H97" s="9"/>
      <c r="I97" s="4">
        <v>0</v>
      </c>
      <c r="J97" s="4">
        <v>0</v>
      </c>
      <c r="K97" s="4">
        <f t="shared" si="4"/>
        <v>43.75</v>
      </c>
      <c r="L97" s="4"/>
    </row>
    <row r="98" spans="1:12" ht="20.25" customHeight="1">
      <c r="A98" s="3">
        <v>96</v>
      </c>
      <c r="B98" s="8">
        <v>180032</v>
      </c>
      <c r="C98" s="9"/>
      <c r="D98" s="9" t="str">
        <f>"2018010501"</f>
        <v>2018010501</v>
      </c>
      <c r="E98" s="9">
        <v>52</v>
      </c>
      <c r="F98" s="9">
        <v>102</v>
      </c>
      <c r="G98" s="9">
        <f t="shared" si="6"/>
        <v>86.99999999999999</v>
      </c>
      <c r="H98" s="9"/>
      <c r="I98" s="4">
        <v>0</v>
      </c>
      <c r="J98" s="4">
        <v>0</v>
      </c>
      <c r="K98" s="4">
        <f t="shared" si="4"/>
        <v>43.5</v>
      </c>
      <c r="L98" s="4"/>
    </row>
    <row r="99" spans="1:12" ht="20.25" customHeight="1">
      <c r="A99" s="3">
        <v>97</v>
      </c>
      <c r="B99" s="8">
        <v>180032</v>
      </c>
      <c r="C99" s="9"/>
      <c r="D99" s="9" t="str">
        <f>"2018010520"</f>
        <v>2018010520</v>
      </c>
      <c r="E99" s="9">
        <v>50</v>
      </c>
      <c r="F99" s="9">
        <v>100</v>
      </c>
      <c r="G99" s="9">
        <f t="shared" si="6"/>
        <v>85</v>
      </c>
      <c r="H99" s="9"/>
      <c r="I99" s="4">
        <v>0</v>
      </c>
      <c r="J99" s="4">
        <v>0</v>
      </c>
      <c r="K99" s="4">
        <f t="shared" si="4"/>
        <v>42.5</v>
      </c>
      <c r="L99" s="4"/>
    </row>
    <row r="100" spans="1:12" ht="20.25" customHeight="1">
      <c r="A100" s="3">
        <v>98</v>
      </c>
      <c r="B100" s="8">
        <v>180032</v>
      </c>
      <c r="C100" s="9"/>
      <c r="D100" s="9" t="str">
        <f>"2018010504"</f>
        <v>2018010504</v>
      </c>
      <c r="E100" s="9">
        <v>47</v>
      </c>
      <c r="F100" s="9">
        <v>91</v>
      </c>
      <c r="G100" s="9">
        <f t="shared" si="6"/>
        <v>77.8</v>
      </c>
      <c r="H100" s="9"/>
      <c r="I100" s="4">
        <v>0</v>
      </c>
      <c r="J100" s="4">
        <v>0</v>
      </c>
      <c r="K100" s="4">
        <f t="shared" si="4"/>
        <v>38.9</v>
      </c>
      <c r="L100" s="4"/>
    </row>
    <row r="101" spans="1:12" ht="20.25" customHeight="1">
      <c r="A101" s="3">
        <v>99</v>
      </c>
      <c r="B101" s="8">
        <v>180032</v>
      </c>
      <c r="C101" s="9"/>
      <c r="D101" s="9" t="str">
        <f>"2018010515"</f>
        <v>2018010515</v>
      </c>
      <c r="E101" s="9">
        <v>55.5</v>
      </c>
      <c r="F101" s="9">
        <v>81</v>
      </c>
      <c r="G101" s="9">
        <f t="shared" si="6"/>
        <v>73.35</v>
      </c>
      <c r="H101" s="9"/>
      <c r="I101" s="4">
        <v>0</v>
      </c>
      <c r="J101" s="4">
        <v>0</v>
      </c>
      <c r="K101" s="4">
        <f t="shared" si="4"/>
        <v>36.68</v>
      </c>
      <c r="L101" s="4"/>
    </row>
    <row r="102" spans="1:12" ht="20.25" customHeight="1">
      <c r="A102" s="3">
        <v>100</v>
      </c>
      <c r="B102" s="8">
        <v>180034</v>
      </c>
      <c r="C102" s="9"/>
      <c r="D102" s="9" t="str">
        <f>"2018011007"</f>
        <v>2018011007</v>
      </c>
      <c r="E102" s="9">
        <v>62</v>
      </c>
      <c r="F102" s="9">
        <v>102</v>
      </c>
      <c r="G102" s="9">
        <f t="shared" si="6"/>
        <v>89.99999999999999</v>
      </c>
      <c r="H102" s="9" t="s">
        <v>28</v>
      </c>
      <c r="I102" s="4">
        <v>86.2</v>
      </c>
      <c r="J102" s="4">
        <f>ROUND(I102*77.85/75.61,2)</f>
        <v>88.75</v>
      </c>
      <c r="K102" s="4">
        <f t="shared" si="4"/>
        <v>80.5</v>
      </c>
      <c r="L102" s="15" t="s">
        <v>37</v>
      </c>
    </row>
    <row r="103" spans="1:12" ht="20.25" customHeight="1">
      <c r="A103" s="3">
        <v>101</v>
      </c>
      <c r="B103" s="8">
        <v>180034</v>
      </c>
      <c r="C103" s="9"/>
      <c r="D103" s="9" t="str">
        <f>"2018011717"</f>
        <v>2018011717</v>
      </c>
      <c r="E103" s="9">
        <v>65</v>
      </c>
      <c r="F103" s="9">
        <v>98</v>
      </c>
      <c r="G103" s="9">
        <f t="shared" si="6"/>
        <v>88.1</v>
      </c>
      <c r="H103" s="9" t="s">
        <v>28</v>
      </c>
      <c r="I103" s="4">
        <v>86.8</v>
      </c>
      <c r="J103" s="4">
        <f>ROUND(I103*77.85/75.61,2)</f>
        <v>89.37</v>
      </c>
      <c r="K103" s="4">
        <f t="shared" si="4"/>
        <v>79.8</v>
      </c>
      <c r="L103" s="16"/>
    </row>
    <row r="104" spans="1:12" ht="20.25" customHeight="1">
      <c r="A104" s="3">
        <v>102</v>
      </c>
      <c r="B104" s="8">
        <v>180034</v>
      </c>
      <c r="C104" s="9"/>
      <c r="D104" s="9" t="str">
        <f>"2018011113"</f>
        <v>2018011113</v>
      </c>
      <c r="E104" s="9">
        <v>50</v>
      </c>
      <c r="F104" s="9">
        <v>109</v>
      </c>
      <c r="G104" s="9">
        <f t="shared" si="6"/>
        <v>91.3</v>
      </c>
      <c r="H104" s="9" t="s">
        <v>23</v>
      </c>
      <c r="I104" s="4">
        <v>83.8</v>
      </c>
      <c r="J104" s="4">
        <f>ROUND(I104*77.85/76.94,2)</f>
        <v>84.79</v>
      </c>
      <c r="K104" s="4">
        <f t="shared" si="4"/>
        <v>79.57</v>
      </c>
      <c r="L104" s="16"/>
    </row>
    <row r="105" spans="1:12" ht="20.25" customHeight="1">
      <c r="A105" s="3">
        <v>103</v>
      </c>
      <c r="B105" s="8">
        <v>180034</v>
      </c>
      <c r="C105" s="9"/>
      <c r="D105" s="9" t="str">
        <f>"2018010816"</f>
        <v>2018010816</v>
      </c>
      <c r="E105" s="9">
        <v>65.5</v>
      </c>
      <c r="F105" s="9">
        <v>103</v>
      </c>
      <c r="G105" s="9">
        <f t="shared" si="6"/>
        <v>91.75</v>
      </c>
      <c r="H105" s="9" t="s">
        <v>23</v>
      </c>
      <c r="I105" s="4">
        <v>80.2</v>
      </c>
      <c r="J105" s="4">
        <f>ROUND(I105*77.85/76.94,2)</f>
        <v>81.15</v>
      </c>
      <c r="K105" s="4">
        <f t="shared" si="4"/>
        <v>78.34</v>
      </c>
      <c r="L105" s="16"/>
    </row>
    <row r="106" spans="1:12" ht="20.25" customHeight="1">
      <c r="A106" s="3">
        <v>104</v>
      </c>
      <c r="B106" s="8">
        <v>180034</v>
      </c>
      <c r="C106" s="9"/>
      <c r="D106" s="9" t="str">
        <f>"2018010728"</f>
        <v>2018010728</v>
      </c>
      <c r="E106" s="9">
        <v>78.5</v>
      </c>
      <c r="F106" s="9">
        <v>96</v>
      </c>
      <c r="G106" s="9">
        <f t="shared" si="6"/>
        <v>90.74999999999999</v>
      </c>
      <c r="H106" s="9" t="s">
        <v>26</v>
      </c>
      <c r="I106" s="4">
        <v>82.2</v>
      </c>
      <c r="J106" s="4">
        <f>ROUND(I106*77.85/78.72,2)</f>
        <v>81.29</v>
      </c>
      <c r="K106" s="4">
        <f t="shared" si="4"/>
        <v>77.89</v>
      </c>
      <c r="L106" s="16"/>
    </row>
    <row r="107" spans="1:12" ht="20.25" customHeight="1">
      <c r="A107" s="3">
        <v>105</v>
      </c>
      <c r="B107" s="8">
        <v>180034</v>
      </c>
      <c r="C107" s="9"/>
      <c r="D107" s="9" t="str">
        <f>"2018011903"</f>
        <v>2018011903</v>
      </c>
      <c r="E107" s="9">
        <v>55.5</v>
      </c>
      <c r="F107" s="9">
        <v>103</v>
      </c>
      <c r="G107" s="9">
        <f t="shared" si="6"/>
        <v>88.75</v>
      </c>
      <c r="H107" s="9" t="s">
        <v>26</v>
      </c>
      <c r="I107" s="4">
        <v>83.6</v>
      </c>
      <c r="J107" s="4">
        <f>ROUND(I107*77.85/78.72,2)</f>
        <v>82.68</v>
      </c>
      <c r="K107" s="4">
        <f t="shared" si="4"/>
        <v>77.45</v>
      </c>
      <c r="L107" s="16"/>
    </row>
    <row r="108" spans="1:12" ht="20.25" customHeight="1">
      <c r="A108" s="3">
        <v>106</v>
      </c>
      <c r="B108" s="8">
        <v>180034</v>
      </c>
      <c r="C108" s="9"/>
      <c r="D108" s="9" t="str">
        <f>"2018012102"</f>
        <v>2018012102</v>
      </c>
      <c r="E108" s="9">
        <v>54</v>
      </c>
      <c r="F108" s="9">
        <v>101</v>
      </c>
      <c r="G108" s="9">
        <f t="shared" si="6"/>
        <v>86.89999999999999</v>
      </c>
      <c r="H108" s="9" t="s">
        <v>28</v>
      </c>
      <c r="I108" s="4">
        <v>82</v>
      </c>
      <c r="J108" s="4">
        <f>ROUND(I108*77.85/75.61,2)</f>
        <v>84.43</v>
      </c>
      <c r="K108" s="4">
        <f t="shared" si="4"/>
        <v>77.22</v>
      </c>
      <c r="L108" s="16"/>
    </row>
    <row r="109" spans="1:12" ht="20.25" customHeight="1">
      <c r="A109" s="3">
        <v>107</v>
      </c>
      <c r="B109" s="8">
        <v>180034</v>
      </c>
      <c r="C109" s="9"/>
      <c r="D109" s="9" t="str">
        <f>"2018010622"</f>
        <v>2018010622</v>
      </c>
      <c r="E109" s="9">
        <v>63</v>
      </c>
      <c r="F109" s="9">
        <v>102</v>
      </c>
      <c r="G109" s="9">
        <f t="shared" si="6"/>
        <v>90.29999999999998</v>
      </c>
      <c r="H109" s="9" t="s">
        <v>27</v>
      </c>
      <c r="I109" s="4">
        <v>82</v>
      </c>
      <c r="J109" s="4">
        <f>ROUND(I109*77.85/80.36,2)</f>
        <v>79.44</v>
      </c>
      <c r="K109" s="4">
        <f t="shared" si="4"/>
        <v>76.93</v>
      </c>
      <c r="L109" s="16"/>
    </row>
    <row r="110" spans="1:12" ht="20.25" customHeight="1">
      <c r="A110" s="3">
        <v>108</v>
      </c>
      <c r="B110" s="8">
        <v>180034</v>
      </c>
      <c r="C110" s="9"/>
      <c r="D110" s="9" t="str">
        <f>"2018011516"</f>
        <v>2018011516</v>
      </c>
      <c r="E110" s="9">
        <v>46.5</v>
      </c>
      <c r="F110" s="9">
        <v>105</v>
      </c>
      <c r="G110" s="9">
        <f t="shared" si="6"/>
        <v>87.45</v>
      </c>
      <c r="H110" s="9" t="s">
        <v>27</v>
      </c>
      <c r="I110" s="4">
        <v>85.4</v>
      </c>
      <c r="J110" s="4">
        <f>ROUND(I110*77.85/80.36,2)</f>
        <v>82.73</v>
      </c>
      <c r="K110" s="4">
        <f t="shared" si="4"/>
        <v>76.82</v>
      </c>
      <c r="L110" s="16"/>
    </row>
    <row r="111" spans="1:12" ht="20.25" customHeight="1">
      <c r="A111" s="3">
        <v>109</v>
      </c>
      <c r="B111" s="8">
        <v>180034</v>
      </c>
      <c r="C111" s="9"/>
      <c r="D111" s="9" t="str">
        <f>"2018012108"</f>
        <v>2018012108</v>
      </c>
      <c r="E111" s="9">
        <v>50.5</v>
      </c>
      <c r="F111" s="9">
        <v>106</v>
      </c>
      <c r="G111" s="9">
        <f t="shared" si="6"/>
        <v>89.35</v>
      </c>
      <c r="H111" s="9" t="s">
        <v>28</v>
      </c>
      <c r="I111" s="4">
        <v>76.6</v>
      </c>
      <c r="J111" s="4">
        <f>ROUND(I111*77.85/75.61,2)</f>
        <v>78.87</v>
      </c>
      <c r="K111" s="4">
        <f t="shared" si="4"/>
        <v>76.22</v>
      </c>
      <c r="L111" s="16"/>
    </row>
    <row r="112" spans="1:12" ht="20.25" customHeight="1">
      <c r="A112" s="3">
        <v>110</v>
      </c>
      <c r="B112" s="8">
        <v>180034</v>
      </c>
      <c r="C112" s="9"/>
      <c r="D112" s="9" t="str">
        <f>"2018012009"</f>
        <v>2018012009</v>
      </c>
      <c r="E112" s="9">
        <v>55</v>
      </c>
      <c r="F112" s="9">
        <v>103</v>
      </c>
      <c r="G112" s="9">
        <f aca="true" t="shared" si="8" ref="G112:G143">E112*0.3+F112*0.7</f>
        <v>88.6</v>
      </c>
      <c r="H112" s="9" t="s">
        <v>26</v>
      </c>
      <c r="I112" s="4">
        <v>80.4</v>
      </c>
      <c r="J112" s="4">
        <f>ROUND(I112*77.85/78.72,2)</f>
        <v>79.51</v>
      </c>
      <c r="K112" s="4">
        <f t="shared" si="4"/>
        <v>76.1</v>
      </c>
      <c r="L112" s="16"/>
    </row>
    <row r="113" spans="1:12" ht="20.25" customHeight="1">
      <c r="A113" s="3">
        <v>111</v>
      </c>
      <c r="B113" s="8">
        <v>180034</v>
      </c>
      <c r="C113" s="9"/>
      <c r="D113" s="9" t="str">
        <f>"2018011622"</f>
        <v>2018011622</v>
      </c>
      <c r="E113" s="9">
        <v>47</v>
      </c>
      <c r="F113" s="9">
        <v>104</v>
      </c>
      <c r="G113" s="9">
        <f t="shared" si="8"/>
        <v>86.89999999999999</v>
      </c>
      <c r="H113" s="9" t="s">
        <v>26</v>
      </c>
      <c r="I113" s="4">
        <v>82.1</v>
      </c>
      <c r="J113" s="4">
        <f>ROUND(I113*77.85/78.72,2)</f>
        <v>81.19</v>
      </c>
      <c r="K113" s="4">
        <f t="shared" si="4"/>
        <v>75.93</v>
      </c>
      <c r="L113" s="16"/>
    </row>
    <row r="114" spans="1:12" ht="20.25" customHeight="1">
      <c r="A114" s="3">
        <v>112</v>
      </c>
      <c r="B114" s="8">
        <v>180034</v>
      </c>
      <c r="C114" s="9"/>
      <c r="D114" s="9" t="str">
        <f>"2018011829"</f>
        <v>2018011829</v>
      </c>
      <c r="E114" s="9">
        <v>53</v>
      </c>
      <c r="F114" s="9">
        <v>101</v>
      </c>
      <c r="G114" s="9">
        <f t="shared" si="8"/>
        <v>86.6</v>
      </c>
      <c r="H114" s="9" t="s">
        <v>26</v>
      </c>
      <c r="I114" s="4">
        <v>82</v>
      </c>
      <c r="J114" s="4">
        <f>ROUND(I114*77.85/78.72,2)</f>
        <v>81.09</v>
      </c>
      <c r="K114" s="4">
        <f t="shared" si="4"/>
        <v>75.74</v>
      </c>
      <c r="L114" s="16"/>
    </row>
    <row r="115" spans="1:12" ht="20.25" customHeight="1">
      <c r="A115" s="3">
        <v>113</v>
      </c>
      <c r="B115" s="8">
        <v>180034</v>
      </c>
      <c r="C115" s="9"/>
      <c r="D115" s="9" t="str">
        <f>"2018010530"</f>
        <v>2018010530</v>
      </c>
      <c r="E115" s="9">
        <v>44.5</v>
      </c>
      <c r="F115" s="9">
        <v>96</v>
      </c>
      <c r="G115" s="9">
        <f t="shared" si="8"/>
        <v>80.54999999999998</v>
      </c>
      <c r="H115" s="9" t="s">
        <v>28</v>
      </c>
      <c r="I115" s="4">
        <v>86</v>
      </c>
      <c r="J115" s="4">
        <f>ROUND(I115*77.85/75.61,2)</f>
        <v>88.55</v>
      </c>
      <c r="K115" s="4">
        <f t="shared" si="4"/>
        <v>75.7</v>
      </c>
      <c r="L115" s="16"/>
    </row>
    <row r="116" spans="1:12" ht="20.25" customHeight="1">
      <c r="A116" s="3">
        <v>114</v>
      </c>
      <c r="B116" s="8">
        <v>180034</v>
      </c>
      <c r="C116" s="9"/>
      <c r="D116" s="9" t="str">
        <f>"2018010828"</f>
        <v>2018010828</v>
      </c>
      <c r="E116" s="9">
        <v>54.5</v>
      </c>
      <c r="F116" s="9">
        <v>98</v>
      </c>
      <c r="G116" s="9">
        <f t="shared" si="8"/>
        <v>84.94999999999999</v>
      </c>
      <c r="H116" s="9" t="s">
        <v>27</v>
      </c>
      <c r="I116" s="4">
        <v>85.6</v>
      </c>
      <c r="J116" s="4">
        <f>ROUND(I116*77.85/80.36,2)</f>
        <v>82.93</v>
      </c>
      <c r="K116" s="4">
        <f t="shared" si="4"/>
        <v>75.65</v>
      </c>
      <c r="L116" s="16"/>
    </row>
    <row r="117" spans="1:12" ht="20.25" customHeight="1">
      <c r="A117" s="3">
        <v>115</v>
      </c>
      <c r="B117" s="8">
        <v>180034</v>
      </c>
      <c r="C117" s="9"/>
      <c r="D117" s="9" t="str">
        <f>"2018011502"</f>
        <v>2018011502</v>
      </c>
      <c r="E117" s="9">
        <v>55</v>
      </c>
      <c r="F117" s="9">
        <v>100</v>
      </c>
      <c r="G117" s="9">
        <f t="shared" si="8"/>
        <v>86.5</v>
      </c>
      <c r="H117" s="9" t="s">
        <v>26</v>
      </c>
      <c r="I117" s="4">
        <v>81.52</v>
      </c>
      <c r="J117" s="4">
        <f>ROUND(I117*77.85/78.72,2)</f>
        <v>80.62</v>
      </c>
      <c r="K117" s="4">
        <f t="shared" si="4"/>
        <v>75.5</v>
      </c>
      <c r="L117" s="16"/>
    </row>
    <row r="118" spans="1:12" ht="20.25" customHeight="1">
      <c r="A118" s="3">
        <v>116</v>
      </c>
      <c r="B118" s="8">
        <v>180034</v>
      </c>
      <c r="C118" s="9"/>
      <c r="D118" s="9" t="str">
        <f>"2018011720"</f>
        <v>2018011720</v>
      </c>
      <c r="E118" s="9">
        <v>68</v>
      </c>
      <c r="F118" s="9">
        <v>90</v>
      </c>
      <c r="G118" s="9">
        <f t="shared" si="8"/>
        <v>83.39999999999999</v>
      </c>
      <c r="H118" s="9" t="s">
        <v>27</v>
      </c>
      <c r="I118" s="4">
        <v>85.8</v>
      </c>
      <c r="J118" s="4">
        <f>ROUND(I118*77.85/80.36,2)</f>
        <v>83.12</v>
      </c>
      <c r="K118" s="4">
        <f t="shared" si="4"/>
        <v>74.95</v>
      </c>
      <c r="L118" s="16"/>
    </row>
    <row r="119" spans="1:12" ht="20.25" customHeight="1">
      <c r="A119" s="3">
        <v>117</v>
      </c>
      <c r="B119" s="8">
        <v>180034</v>
      </c>
      <c r="C119" s="9"/>
      <c r="D119" s="9" t="str">
        <f>"2018011826"</f>
        <v>2018011826</v>
      </c>
      <c r="E119" s="9">
        <v>58</v>
      </c>
      <c r="F119" s="9">
        <v>91</v>
      </c>
      <c r="G119" s="9">
        <f t="shared" si="8"/>
        <v>81.1</v>
      </c>
      <c r="H119" s="9" t="s">
        <v>23</v>
      </c>
      <c r="I119" s="4">
        <v>85</v>
      </c>
      <c r="J119" s="4">
        <f>ROUND(I119*77.85/76.94,2)</f>
        <v>86.01</v>
      </c>
      <c r="K119" s="4">
        <f t="shared" si="4"/>
        <v>74.95</v>
      </c>
      <c r="L119" s="16"/>
    </row>
    <row r="120" spans="1:12" ht="20.25" customHeight="1">
      <c r="A120" s="3">
        <v>118</v>
      </c>
      <c r="B120" s="8">
        <v>180034</v>
      </c>
      <c r="C120" s="9"/>
      <c r="D120" s="9" t="str">
        <f>"2018010811"</f>
        <v>2018010811</v>
      </c>
      <c r="E120" s="9">
        <v>52</v>
      </c>
      <c r="F120" s="9">
        <v>98</v>
      </c>
      <c r="G120" s="9">
        <f t="shared" si="8"/>
        <v>84.19999999999999</v>
      </c>
      <c r="H120" s="9" t="s">
        <v>26</v>
      </c>
      <c r="I120" s="4">
        <v>83</v>
      </c>
      <c r="J120" s="4">
        <f>ROUND(I120*77.85/78.72,2)</f>
        <v>82.08</v>
      </c>
      <c r="K120" s="4">
        <f t="shared" si="4"/>
        <v>74.93</v>
      </c>
      <c r="L120" s="16"/>
    </row>
    <row r="121" spans="1:12" ht="20.25" customHeight="1">
      <c r="A121" s="3">
        <v>119</v>
      </c>
      <c r="B121" s="8">
        <v>180034</v>
      </c>
      <c r="C121" s="9"/>
      <c r="D121" s="9" t="str">
        <f>"2018011614"</f>
        <v>2018011614</v>
      </c>
      <c r="E121" s="9">
        <v>52.5</v>
      </c>
      <c r="F121" s="9">
        <v>96</v>
      </c>
      <c r="G121" s="9">
        <f t="shared" si="8"/>
        <v>82.94999999999999</v>
      </c>
      <c r="H121" s="9" t="s">
        <v>23</v>
      </c>
      <c r="I121" s="4">
        <v>82.6</v>
      </c>
      <c r="J121" s="4">
        <f>ROUND(I121*77.85/76.94,2)</f>
        <v>83.58</v>
      </c>
      <c r="K121" s="4">
        <f t="shared" si="4"/>
        <v>74.91</v>
      </c>
      <c r="L121" s="16"/>
    </row>
    <row r="122" spans="1:12" ht="20.25" customHeight="1">
      <c r="A122" s="3">
        <v>120</v>
      </c>
      <c r="B122" s="8">
        <v>180034</v>
      </c>
      <c r="C122" s="9"/>
      <c r="D122" s="9" t="str">
        <f>"2018011003"</f>
        <v>2018011003</v>
      </c>
      <c r="E122" s="9">
        <v>43</v>
      </c>
      <c r="F122" s="9">
        <v>97</v>
      </c>
      <c r="G122" s="9">
        <f t="shared" si="8"/>
        <v>80.8</v>
      </c>
      <c r="H122" s="9" t="s">
        <v>23</v>
      </c>
      <c r="I122" s="4">
        <v>85.2</v>
      </c>
      <c r="J122" s="4">
        <f>ROUND(I122*77.85/76.94,2)</f>
        <v>86.21</v>
      </c>
      <c r="K122" s="4">
        <f t="shared" si="4"/>
        <v>74.88</v>
      </c>
      <c r="L122" s="16"/>
    </row>
    <row r="123" spans="1:12" ht="20.25" customHeight="1">
      <c r="A123" s="3">
        <v>121</v>
      </c>
      <c r="B123" s="8">
        <v>180034</v>
      </c>
      <c r="C123" s="9"/>
      <c r="D123" s="9" t="str">
        <f>"2018011806"</f>
        <v>2018011806</v>
      </c>
      <c r="E123" s="9">
        <v>49.5</v>
      </c>
      <c r="F123" s="9">
        <v>100</v>
      </c>
      <c r="G123" s="9">
        <f t="shared" si="8"/>
        <v>84.85</v>
      </c>
      <c r="H123" s="9" t="s">
        <v>27</v>
      </c>
      <c r="I123" s="4">
        <v>83.4</v>
      </c>
      <c r="J123" s="4">
        <f>ROUND(I123*77.85/80.36,2)</f>
        <v>80.8</v>
      </c>
      <c r="K123" s="4">
        <f t="shared" si="4"/>
        <v>74.75</v>
      </c>
      <c r="L123" s="16"/>
    </row>
    <row r="124" spans="1:12" ht="20.25" customHeight="1">
      <c r="A124" s="3">
        <v>122</v>
      </c>
      <c r="B124" s="8">
        <v>180034</v>
      </c>
      <c r="C124" s="9"/>
      <c r="D124" s="9" t="str">
        <f>"2018011330"</f>
        <v>2018011330</v>
      </c>
      <c r="E124" s="9">
        <v>50.5</v>
      </c>
      <c r="F124" s="9">
        <v>97</v>
      </c>
      <c r="G124" s="9">
        <f t="shared" si="8"/>
        <v>83.04999999999998</v>
      </c>
      <c r="H124" s="9" t="s">
        <v>27</v>
      </c>
      <c r="I124" s="4">
        <v>85.4</v>
      </c>
      <c r="J124" s="4">
        <f>ROUND(I124*77.85/80.36,2)</f>
        <v>82.73</v>
      </c>
      <c r="K124" s="4">
        <f t="shared" si="4"/>
        <v>74.62</v>
      </c>
      <c r="L124" s="16"/>
    </row>
    <row r="125" spans="1:12" ht="20.25" customHeight="1">
      <c r="A125" s="3">
        <v>123</v>
      </c>
      <c r="B125" s="8">
        <v>180034</v>
      </c>
      <c r="C125" s="9"/>
      <c r="D125" s="9" t="str">
        <f>"2018010719"</f>
        <v>2018010719</v>
      </c>
      <c r="E125" s="9">
        <v>63</v>
      </c>
      <c r="F125" s="9">
        <v>91</v>
      </c>
      <c r="G125" s="9">
        <f t="shared" si="8"/>
        <v>82.6</v>
      </c>
      <c r="H125" s="9" t="s">
        <v>27</v>
      </c>
      <c r="I125" s="4">
        <v>85.7</v>
      </c>
      <c r="J125" s="4">
        <f>ROUND(I125*77.85/80.36,2)</f>
        <v>83.02</v>
      </c>
      <c r="K125" s="4">
        <f t="shared" si="4"/>
        <v>74.51</v>
      </c>
      <c r="L125" s="16"/>
    </row>
    <row r="126" spans="1:12" ht="20.25" customHeight="1">
      <c r="A126" s="3">
        <v>124</v>
      </c>
      <c r="B126" s="8">
        <v>180034</v>
      </c>
      <c r="C126" s="9"/>
      <c r="D126" s="9" t="str">
        <f>"2018011311"</f>
        <v>2018011311</v>
      </c>
      <c r="E126" s="9">
        <v>53</v>
      </c>
      <c r="F126" s="9">
        <v>100</v>
      </c>
      <c r="G126" s="9">
        <f t="shared" si="8"/>
        <v>85.9</v>
      </c>
      <c r="H126" s="9" t="s">
        <v>27</v>
      </c>
      <c r="I126" s="4">
        <v>81.4</v>
      </c>
      <c r="J126" s="4">
        <f>ROUND(I126*77.85/80.36,2)</f>
        <v>78.86</v>
      </c>
      <c r="K126" s="4">
        <f t="shared" si="4"/>
        <v>74.49</v>
      </c>
      <c r="L126" s="16"/>
    </row>
    <row r="127" spans="1:12" ht="20.25" customHeight="1">
      <c r="A127" s="3">
        <v>125</v>
      </c>
      <c r="B127" s="8">
        <v>180034</v>
      </c>
      <c r="C127" s="9"/>
      <c r="D127" s="9" t="str">
        <f>"2018012115"</f>
        <v>2018012115</v>
      </c>
      <c r="E127" s="9">
        <v>53</v>
      </c>
      <c r="F127" s="9">
        <v>100</v>
      </c>
      <c r="G127" s="9">
        <f t="shared" si="8"/>
        <v>85.9</v>
      </c>
      <c r="H127" s="9" t="s">
        <v>26</v>
      </c>
      <c r="I127" s="4">
        <v>79.6</v>
      </c>
      <c r="J127" s="4">
        <f>ROUND(I127*77.85/78.72,2)</f>
        <v>78.72</v>
      </c>
      <c r="K127" s="4">
        <f t="shared" si="4"/>
        <v>74.44</v>
      </c>
      <c r="L127" s="16"/>
    </row>
    <row r="128" spans="1:12" ht="20.25" customHeight="1">
      <c r="A128" s="3">
        <v>126</v>
      </c>
      <c r="B128" s="8">
        <v>180034</v>
      </c>
      <c r="C128" s="9"/>
      <c r="D128" s="9" t="str">
        <f>"2018012127"</f>
        <v>2018012127</v>
      </c>
      <c r="E128" s="9">
        <v>28.5</v>
      </c>
      <c r="F128" s="9">
        <v>105</v>
      </c>
      <c r="G128" s="9">
        <f t="shared" si="8"/>
        <v>82.05</v>
      </c>
      <c r="H128" s="9" t="s">
        <v>28</v>
      </c>
      <c r="I128" s="4">
        <v>81</v>
      </c>
      <c r="J128" s="4">
        <f>ROUND(I128*77.85/75.61,2)</f>
        <v>83.4</v>
      </c>
      <c r="K128" s="4">
        <f t="shared" si="4"/>
        <v>74.39</v>
      </c>
      <c r="L128" s="16"/>
    </row>
    <row r="129" spans="1:12" ht="20.25" customHeight="1">
      <c r="A129" s="3">
        <v>127</v>
      </c>
      <c r="B129" s="8">
        <v>180034</v>
      </c>
      <c r="C129" s="9"/>
      <c r="D129" s="9" t="str">
        <f>"2018010804"</f>
        <v>2018010804</v>
      </c>
      <c r="E129" s="9">
        <v>45</v>
      </c>
      <c r="F129" s="9">
        <v>103</v>
      </c>
      <c r="G129" s="9">
        <f t="shared" si="8"/>
        <v>85.6</v>
      </c>
      <c r="H129" s="9" t="s">
        <v>28</v>
      </c>
      <c r="I129" s="4">
        <v>76.6</v>
      </c>
      <c r="J129" s="4">
        <f>ROUND(I129*77.85/75.61,2)</f>
        <v>78.87</v>
      </c>
      <c r="K129" s="4">
        <f t="shared" si="4"/>
        <v>74.35</v>
      </c>
      <c r="L129" s="16"/>
    </row>
    <row r="130" spans="1:12" ht="20.25" customHeight="1">
      <c r="A130" s="3">
        <v>128</v>
      </c>
      <c r="B130" s="8">
        <v>180034</v>
      </c>
      <c r="C130" s="9"/>
      <c r="D130" s="9" t="str">
        <f>"2018011813"</f>
        <v>2018011813</v>
      </c>
      <c r="E130" s="9">
        <v>51.5</v>
      </c>
      <c r="F130" s="9">
        <v>100</v>
      </c>
      <c r="G130" s="9">
        <f t="shared" si="8"/>
        <v>85.45</v>
      </c>
      <c r="H130" s="9" t="s">
        <v>26</v>
      </c>
      <c r="I130" s="4">
        <v>79.8</v>
      </c>
      <c r="J130" s="4">
        <f>ROUND(I130*77.85/78.72,2)</f>
        <v>78.92</v>
      </c>
      <c r="K130" s="4">
        <f t="shared" si="4"/>
        <v>74.29</v>
      </c>
      <c r="L130" s="16"/>
    </row>
    <row r="131" spans="1:12" ht="20.25" customHeight="1">
      <c r="A131" s="3">
        <v>129</v>
      </c>
      <c r="B131" s="8">
        <v>180034</v>
      </c>
      <c r="C131" s="9"/>
      <c r="D131" s="9" t="str">
        <f>"2018011527"</f>
        <v>2018011527</v>
      </c>
      <c r="E131" s="9">
        <v>47.5</v>
      </c>
      <c r="F131" s="9">
        <v>100</v>
      </c>
      <c r="G131" s="9">
        <f t="shared" si="8"/>
        <v>84.25</v>
      </c>
      <c r="H131" s="9" t="s">
        <v>27</v>
      </c>
      <c r="I131" s="4">
        <v>82.8</v>
      </c>
      <c r="J131" s="4">
        <f>ROUND(I131*77.85/80.36,2)</f>
        <v>80.21</v>
      </c>
      <c r="K131" s="4">
        <f t="shared" si="4"/>
        <v>74.21</v>
      </c>
      <c r="L131" s="16"/>
    </row>
    <row r="132" spans="1:12" ht="20.25" customHeight="1">
      <c r="A132" s="3">
        <v>130</v>
      </c>
      <c r="B132" s="8">
        <v>180034</v>
      </c>
      <c r="C132" s="9"/>
      <c r="D132" s="9" t="str">
        <f>"2018011615"</f>
        <v>2018011615</v>
      </c>
      <c r="E132" s="9">
        <v>42.5</v>
      </c>
      <c r="F132" s="9">
        <v>96</v>
      </c>
      <c r="G132" s="9">
        <f t="shared" si="8"/>
        <v>79.94999999999999</v>
      </c>
      <c r="H132" s="9" t="s">
        <v>28</v>
      </c>
      <c r="I132" s="4">
        <v>83</v>
      </c>
      <c r="J132" s="4">
        <f>ROUND(I132*77.85/75.61,2)</f>
        <v>85.46</v>
      </c>
      <c r="K132" s="4">
        <f aca="true" t="shared" si="9" ref="K132:K195">ROUND(G132/1.2*0.6+J132*0.4,2)</f>
        <v>74.16</v>
      </c>
      <c r="L132" s="16"/>
    </row>
    <row r="133" spans="1:12" ht="20.25" customHeight="1">
      <c r="A133" s="3">
        <v>131</v>
      </c>
      <c r="B133" s="8">
        <v>180034</v>
      </c>
      <c r="C133" s="9"/>
      <c r="D133" s="9" t="str">
        <f>"2018010825"</f>
        <v>2018010825</v>
      </c>
      <c r="E133" s="9">
        <v>49.5</v>
      </c>
      <c r="F133" s="9">
        <v>100</v>
      </c>
      <c r="G133" s="9">
        <f t="shared" si="8"/>
        <v>84.85</v>
      </c>
      <c r="H133" s="9" t="s">
        <v>28</v>
      </c>
      <c r="I133" s="4">
        <v>76.8</v>
      </c>
      <c r="J133" s="4">
        <f>ROUND(I133*77.85/75.61,2)</f>
        <v>79.08</v>
      </c>
      <c r="K133" s="4">
        <f t="shared" si="9"/>
        <v>74.06</v>
      </c>
      <c r="L133" s="16"/>
    </row>
    <row r="134" spans="1:12" ht="20.25" customHeight="1">
      <c r="A134" s="3">
        <v>132</v>
      </c>
      <c r="B134" s="8">
        <v>180034</v>
      </c>
      <c r="C134" s="9"/>
      <c r="D134" s="9" t="str">
        <f>"2018012117"</f>
        <v>2018012117</v>
      </c>
      <c r="E134" s="9">
        <v>47</v>
      </c>
      <c r="F134" s="9">
        <v>96</v>
      </c>
      <c r="G134" s="9">
        <f t="shared" si="8"/>
        <v>81.29999999999998</v>
      </c>
      <c r="H134" s="9" t="s">
        <v>23</v>
      </c>
      <c r="I134" s="4">
        <v>82</v>
      </c>
      <c r="J134" s="4">
        <f>ROUND(I134*77.85/76.94,2)</f>
        <v>82.97</v>
      </c>
      <c r="K134" s="4">
        <f t="shared" si="9"/>
        <v>73.84</v>
      </c>
      <c r="L134" s="16"/>
    </row>
    <row r="135" spans="1:12" ht="20.25" customHeight="1">
      <c r="A135" s="3">
        <v>133</v>
      </c>
      <c r="B135" s="8">
        <v>180034</v>
      </c>
      <c r="C135" s="9"/>
      <c r="D135" s="9" t="str">
        <f>"2018010621"</f>
        <v>2018010621</v>
      </c>
      <c r="E135" s="9">
        <v>49</v>
      </c>
      <c r="F135" s="9">
        <v>99</v>
      </c>
      <c r="G135" s="9">
        <f t="shared" si="8"/>
        <v>84</v>
      </c>
      <c r="H135" s="9" t="s">
        <v>26</v>
      </c>
      <c r="I135" s="4">
        <v>80.3</v>
      </c>
      <c r="J135" s="4">
        <f>ROUND(I135*77.85/78.72,2)</f>
        <v>79.41</v>
      </c>
      <c r="K135" s="4">
        <f t="shared" si="9"/>
        <v>73.76</v>
      </c>
      <c r="L135" s="16"/>
    </row>
    <row r="136" spans="1:12" ht="20.25" customHeight="1">
      <c r="A136" s="3">
        <v>134</v>
      </c>
      <c r="B136" s="8">
        <v>180034</v>
      </c>
      <c r="C136" s="9"/>
      <c r="D136" s="9" t="str">
        <f>"2018012027"</f>
        <v>2018012027</v>
      </c>
      <c r="E136" s="9">
        <v>31.5</v>
      </c>
      <c r="F136" s="9">
        <v>108</v>
      </c>
      <c r="G136" s="9">
        <f t="shared" si="8"/>
        <v>85.05</v>
      </c>
      <c r="H136" s="9" t="s">
        <v>28</v>
      </c>
      <c r="I136" s="4">
        <v>75.6</v>
      </c>
      <c r="J136" s="4">
        <f>ROUND(I136*77.85/75.61,2)</f>
        <v>77.84</v>
      </c>
      <c r="K136" s="4">
        <f t="shared" si="9"/>
        <v>73.66</v>
      </c>
      <c r="L136" s="16"/>
    </row>
    <row r="137" spans="1:12" ht="20.25" customHeight="1">
      <c r="A137" s="3">
        <v>135</v>
      </c>
      <c r="B137" s="8">
        <v>180034</v>
      </c>
      <c r="C137" s="9"/>
      <c r="D137" s="9" t="str">
        <f>"2018011122"</f>
        <v>2018011122</v>
      </c>
      <c r="E137" s="9">
        <v>43</v>
      </c>
      <c r="F137" s="9">
        <v>99</v>
      </c>
      <c r="G137" s="9">
        <f t="shared" si="8"/>
        <v>82.2</v>
      </c>
      <c r="H137" s="9" t="s">
        <v>27</v>
      </c>
      <c r="I137" s="4">
        <v>83.8</v>
      </c>
      <c r="J137" s="4">
        <f>ROUND(I137*77.85/80.36,2)</f>
        <v>81.18</v>
      </c>
      <c r="K137" s="4">
        <f t="shared" si="9"/>
        <v>73.57</v>
      </c>
      <c r="L137" s="16"/>
    </row>
    <row r="138" spans="1:12" ht="20.25" customHeight="1">
      <c r="A138" s="3">
        <v>136</v>
      </c>
      <c r="B138" s="8">
        <v>180034</v>
      </c>
      <c r="C138" s="9"/>
      <c r="D138" s="9" t="str">
        <f>"2018011425"</f>
        <v>2018011425</v>
      </c>
      <c r="E138" s="9">
        <v>60</v>
      </c>
      <c r="F138" s="9">
        <v>96</v>
      </c>
      <c r="G138" s="9">
        <f t="shared" si="8"/>
        <v>85.19999999999999</v>
      </c>
      <c r="H138" s="9" t="s">
        <v>27</v>
      </c>
      <c r="I138" s="4">
        <v>79.8</v>
      </c>
      <c r="J138" s="4">
        <f>ROUND(I138*77.85/80.36,2)</f>
        <v>77.31</v>
      </c>
      <c r="K138" s="4">
        <f t="shared" si="9"/>
        <v>73.52</v>
      </c>
      <c r="L138" s="16"/>
    </row>
    <row r="139" spans="1:12" ht="20.25" customHeight="1">
      <c r="A139" s="3">
        <v>137</v>
      </c>
      <c r="B139" s="8">
        <v>180034</v>
      </c>
      <c r="C139" s="9"/>
      <c r="D139" s="9" t="str">
        <f>"2018012004"</f>
        <v>2018012004</v>
      </c>
      <c r="E139" s="9">
        <v>59.5</v>
      </c>
      <c r="F139" s="9">
        <v>91</v>
      </c>
      <c r="G139" s="9">
        <f t="shared" si="8"/>
        <v>81.55</v>
      </c>
      <c r="H139" s="9" t="s">
        <v>28</v>
      </c>
      <c r="I139" s="4">
        <v>79.4</v>
      </c>
      <c r="J139" s="4">
        <f>ROUND(I139*77.85/75.61,2)</f>
        <v>81.75</v>
      </c>
      <c r="K139" s="4">
        <f t="shared" si="9"/>
        <v>73.48</v>
      </c>
      <c r="L139" s="16"/>
    </row>
    <row r="140" spans="1:12" ht="20.25" customHeight="1">
      <c r="A140" s="3">
        <v>138</v>
      </c>
      <c r="B140" s="8">
        <v>180034</v>
      </c>
      <c r="C140" s="9"/>
      <c r="D140" s="9" t="str">
        <f>"2018011101"</f>
        <v>2018011101</v>
      </c>
      <c r="E140" s="9">
        <v>47</v>
      </c>
      <c r="F140" s="9">
        <v>97</v>
      </c>
      <c r="G140" s="9">
        <f t="shared" si="8"/>
        <v>81.99999999999999</v>
      </c>
      <c r="H140" s="9" t="s">
        <v>28</v>
      </c>
      <c r="I140" s="4">
        <v>78.6</v>
      </c>
      <c r="J140" s="4">
        <f>ROUND(I140*77.85/75.61,2)</f>
        <v>80.93</v>
      </c>
      <c r="K140" s="4">
        <f t="shared" si="9"/>
        <v>73.37</v>
      </c>
      <c r="L140" s="16"/>
    </row>
    <row r="141" spans="1:12" ht="20.25" customHeight="1">
      <c r="A141" s="3">
        <v>139</v>
      </c>
      <c r="B141" s="8">
        <v>180034</v>
      </c>
      <c r="C141" s="9"/>
      <c r="D141" s="9" t="str">
        <f>"2018011308"</f>
        <v>2018011308</v>
      </c>
      <c r="E141" s="9">
        <v>42</v>
      </c>
      <c r="F141" s="9">
        <v>96</v>
      </c>
      <c r="G141" s="9">
        <f t="shared" si="8"/>
        <v>79.79999999999998</v>
      </c>
      <c r="H141" s="9" t="s">
        <v>28</v>
      </c>
      <c r="I141" s="4">
        <v>81</v>
      </c>
      <c r="J141" s="4">
        <f>ROUND(I141*77.85/75.61,2)</f>
        <v>83.4</v>
      </c>
      <c r="K141" s="4">
        <f t="shared" si="9"/>
        <v>73.26</v>
      </c>
      <c r="L141" s="16"/>
    </row>
    <row r="142" spans="1:12" ht="20.25" customHeight="1">
      <c r="A142" s="3">
        <v>140</v>
      </c>
      <c r="B142" s="8">
        <v>180034</v>
      </c>
      <c r="C142" s="9"/>
      <c r="D142" s="9" t="str">
        <f>"2018011319"</f>
        <v>2018011319</v>
      </c>
      <c r="E142" s="9">
        <v>55.5</v>
      </c>
      <c r="F142" s="9">
        <v>89</v>
      </c>
      <c r="G142" s="9">
        <f t="shared" si="8"/>
        <v>78.94999999999999</v>
      </c>
      <c r="H142" s="9" t="s">
        <v>27</v>
      </c>
      <c r="I142" s="4">
        <v>87.1</v>
      </c>
      <c r="J142" s="4">
        <f>ROUND(I142*77.85/80.36,2)</f>
        <v>84.38</v>
      </c>
      <c r="K142" s="4">
        <f t="shared" si="9"/>
        <v>73.23</v>
      </c>
      <c r="L142" s="16"/>
    </row>
    <row r="143" spans="1:12" ht="20.25" customHeight="1">
      <c r="A143" s="3">
        <v>141</v>
      </c>
      <c r="B143" s="8">
        <v>180034</v>
      </c>
      <c r="C143" s="9"/>
      <c r="D143" s="9" t="str">
        <f>"2018011503"</f>
        <v>2018011503</v>
      </c>
      <c r="E143" s="9">
        <v>44.5</v>
      </c>
      <c r="F143" s="9">
        <v>99</v>
      </c>
      <c r="G143" s="9">
        <f t="shared" si="8"/>
        <v>82.64999999999999</v>
      </c>
      <c r="H143" s="9" t="s">
        <v>23</v>
      </c>
      <c r="I143" s="4">
        <v>78.8</v>
      </c>
      <c r="J143" s="4">
        <f>ROUND(I143*77.85/76.94,2)</f>
        <v>79.73</v>
      </c>
      <c r="K143" s="4">
        <f t="shared" si="9"/>
        <v>73.22</v>
      </c>
      <c r="L143" s="16"/>
    </row>
    <row r="144" spans="1:12" ht="20.25" customHeight="1">
      <c r="A144" s="3">
        <v>142</v>
      </c>
      <c r="B144" s="8">
        <v>180034</v>
      </c>
      <c r="C144" s="9"/>
      <c r="D144" s="9" t="str">
        <f>"2018011529"</f>
        <v>2018011529</v>
      </c>
      <c r="E144" s="9">
        <v>63</v>
      </c>
      <c r="F144" s="9">
        <v>95</v>
      </c>
      <c r="G144" s="9">
        <f aca="true" t="shared" si="10" ref="G144:G171">E144*0.3+F144*0.7</f>
        <v>85.4</v>
      </c>
      <c r="H144" s="9" t="s">
        <v>26</v>
      </c>
      <c r="I144" s="4">
        <v>77</v>
      </c>
      <c r="J144" s="4">
        <f>ROUND(I144*77.85/78.72,2)</f>
        <v>76.15</v>
      </c>
      <c r="K144" s="4">
        <f t="shared" si="9"/>
        <v>73.16</v>
      </c>
      <c r="L144" s="16"/>
    </row>
    <row r="145" spans="1:12" ht="20.25" customHeight="1">
      <c r="A145" s="3">
        <v>143</v>
      </c>
      <c r="B145" s="8">
        <v>180034</v>
      </c>
      <c r="C145" s="9"/>
      <c r="D145" s="9" t="str">
        <f>"2018012019"</f>
        <v>2018012019</v>
      </c>
      <c r="E145" s="9">
        <v>50</v>
      </c>
      <c r="F145" s="9">
        <v>93</v>
      </c>
      <c r="G145" s="9">
        <f t="shared" si="10"/>
        <v>80.1</v>
      </c>
      <c r="H145" s="9" t="s">
        <v>23</v>
      </c>
      <c r="I145" s="4">
        <v>81.8</v>
      </c>
      <c r="J145" s="4">
        <f>ROUND(I145*77.85/76.94,2)</f>
        <v>82.77</v>
      </c>
      <c r="K145" s="4">
        <f t="shared" si="9"/>
        <v>73.16</v>
      </c>
      <c r="L145" s="16"/>
    </row>
    <row r="146" spans="1:12" ht="20.25" customHeight="1">
      <c r="A146" s="3">
        <v>144</v>
      </c>
      <c r="B146" s="8">
        <v>180034</v>
      </c>
      <c r="C146" s="9"/>
      <c r="D146" s="9" t="str">
        <f>"2018011704"</f>
        <v>2018011704</v>
      </c>
      <c r="E146" s="9">
        <v>49.5</v>
      </c>
      <c r="F146" s="9">
        <v>97</v>
      </c>
      <c r="G146" s="9">
        <f t="shared" si="10"/>
        <v>82.74999999999999</v>
      </c>
      <c r="H146" s="9" t="s">
        <v>23</v>
      </c>
      <c r="I146" s="4">
        <v>78.2</v>
      </c>
      <c r="J146" s="4">
        <f>ROUND(I146*77.85/76.94,2)</f>
        <v>79.12</v>
      </c>
      <c r="K146" s="4">
        <f t="shared" si="9"/>
        <v>73.02</v>
      </c>
      <c r="L146" s="16"/>
    </row>
    <row r="147" spans="1:12" ht="20.25" customHeight="1">
      <c r="A147" s="3">
        <v>145</v>
      </c>
      <c r="B147" s="8">
        <v>180034</v>
      </c>
      <c r="C147" s="9"/>
      <c r="D147" s="9" t="str">
        <f>"2018012207"</f>
        <v>2018012207</v>
      </c>
      <c r="E147" s="9">
        <v>46.5</v>
      </c>
      <c r="F147" s="9">
        <v>98</v>
      </c>
      <c r="G147" s="9">
        <f t="shared" si="10"/>
        <v>82.55</v>
      </c>
      <c r="H147" s="9" t="s">
        <v>28</v>
      </c>
      <c r="I147" s="4">
        <v>77</v>
      </c>
      <c r="J147" s="4">
        <f>ROUND(I147*77.85/75.61,2)</f>
        <v>79.28</v>
      </c>
      <c r="K147" s="4">
        <f t="shared" si="9"/>
        <v>72.99</v>
      </c>
      <c r="L147" s="16"/>
    </row>
    <row r="148" spans="1:12" ht="20.25" customHeight="1">
      <c r="A148" s="3">
        <v>146</v>
      </c>
      <c r="B148" s="8">
        <v>180034</v>
      </c>
      <c r="C148" s="9"/>
      <c r="D148" s="9" t="str">
        <f>"2018011118"</f>
        <v>2018011118</v>
      </c>
      <c r="E148" s="9">
        <v>47</v>
      </c>
      <c r="F148" s="9">
        <v>94</v>
      </c>
      <c r="G148" s="9">
        <f t="shared" si="10"/>
        <v>79.89999999999999</v>
      </c>
      <c r="H148" s="9" t="s">
        <v>28</v>
      </c>
      <c r="I148" s="4">
        <v>80</v>
      </c>
      <c r="J148" s="4">
        <f>ROUND(I148*77.85/75.61,2)</f>
        <v>82.37</v>
      </c>
      <c r="K148" s="4">
        <f t="shared" si="9"/>
        <v>72.9</v>
      </c>
      <c r="L148" s="16"/>
    </row>
    <row r="149" spans="1:12" ht="20.25" customHeight="1">
      <c r="A149" s="3">
        <v>147</v>
      </c>
      <c r="B149" s="8">
        <v>180034</v>
      </c>
      <c r="C149" s="9"/>
      <c r="D149" s="9" t="str">
        <f>"2018011920"</f>
        <v>2018011920</v>
      </c>
      <c r="E149" s="9">
        <v>53</v>
      </c>
      <c r="F149" s="9">
        <v>93</v>
      </c>
      <c r="G149" s="9">
        <f t="shared" si="10"/>
        <v>81</v>
      </c>
      <c r="H149" s="9" t="s">
        <v>26</v>
      </c>
      <c r="I149" s="4">
        <v>81.6</v>
      </c>
      <c r="J149" s="4">
        <f>ROUND(I149*77.85/78.72,2)</f>
        <v>80.7</v>
      </c>
      <c r="K149" s="4">
        <f t="shared" si="9"/>
        <v>72.78</v>
      </c>
      <c r="L149" s="16"/>
    </row>
    <row r="150" spans="1:12" ht="20.25" customHeight="1">
      <c r="A150" s="3">
        <v>148</v>
      </c>
      <c r="B150" s="8">
        <v>180034</v>
      </c>
      <c r="C150" s="9"/>
      <c r="D150" s="9" t="str">
        <f>"2018011617"</f>
        <v>2018011617</v>
      </c>
      <c r="E150" s="9">
        <v>44</v>
      </c>
      <c r="F150" s="9">
        <v>95</v>
      </c>
      <c r="G150" s="9">
        <f t="shared" si="10"/>
        <v>79.7</v>
      </c>
      <c r="H150" s="9" t="s">
        <v>28</v>
      </c>
      <c r="I150" s="4">
        <v>79.8</v>
      </c>
      <c r="J150" s="4">
        <f>ROUND(I150*77.85/75.61,2)</f>
        <v>82.16</v>
      </c>
      <c r="K150" s="4">
        <f t="shared" si="9"/>
        <v>72.71</v>
      </c>
      <c r="L150" s="16"/>
    </row>
    <row r="151" spans="1:12" ht="20.25" customHeight="1">
      <c r="A151" s="3">
        <v>149</v>
      </c>
      <c r="B151" s="8">
        <v>180034</v>
      </c>
      <c r="C151" s="9"/>
      <c r="D151" s="9" t="str">
        <f>"2018011727"</f>
        <v>2018011727</v>
      </c>
      <c r="E151" s="9">
        <v>40</v>
      </c>
      <c r="F151" s="9">
        <v>106</v>
      </c>
      <c r="G151" s="9">
        <f t="shared" si="10"/>
        <v>86.19999999999999</v>
      </c>
      <c r="H151" s="9" t="s">
        <v>23</v>
      </c>
      <c r="I151" s="4">
        <v>73</v>
      </c>
      <c r="J151" s="4">
        <f>ROUND(I151*77.85/76.94,2)</f>
        <v>73.86</v>
      </c>
      <c r="K151" s="4">
        <f t="shared" si="9"/>
        <v>72.64</v>
      </c>
      <c r="L151" s="16"/>
    </row>
    <row r="152" spans="1:12" ht="20.25" customHeight="1">
      <c r="A152" s="3">
        <v>150</v>
      </c>
      <c r="B152" s="8">
        <v>180034</v>
      </c>
      <c r="C152" s="9"/>
      <c r="D152" s="9" t="str">
        <f>"2018012204"</f>
        <v>2018012204</v>
      </c>
      <c r="E152" s="9">
        <v>28</v>
      </c>
      <c r="F152" s="9">
        <v>105</v>
      </c>
      <c r="G152" s="9">
        <f t="shared" si="10"/>
        <v>81.9</v>
      </c>
      <c r="H152" s="9" t="s">
        <v>27</v>
      </c>
      <c r="I152" s="4">
        <v>81.6</v>
      </c>
      <c r="J152" s="4">
        <f>ROUND(I152*77.85/80.36,2)</f>
        <v>79.05</v>
      </c>
      <c r="K152" s="4">
        <f t="shared" si="9"/>
        <v>72.57</v>
      </c>
      <c r="L152" s="16"/>
    </row>
    <row r="153" spans="1:12" ht="20.25" customHeight="1">
      <c r="A153" s="3">
        <v>151</v>
      </c>
      <c r="B153" s="8">
        <v>180034</v>
      </c>
      <c r="C153" s="9"/>
      <c r="D153" s="9" t="str">
        <f>"2018011024"</f>
        <v>2018011024</v>
      </c>
      <c r="E153" s="9">
        <v>45</v>
      </c>
      <c r="F153" s="9">
        <v>99</v>
      </c>
      <c r="G153" s="9">
        <f t="shared" si="10"/>
        <v>82.8</v>
      </c>
      <c r="H153" s="9" t="s">
        <v>27</v>
      </c>
      <c r="I153" s="4">
        <v>79.6</v>
      </c>
      <c r="J153" s="4">
        <f>ROUND(I153*77.85/80.36,2)</f>
        <v>77.11</v>
      </c>
      <c r="K153" s="4">
        <f t="shared" si="9"/>
        <v>72.24</v>
      </c>
      <c r="L153" s="16"/>
    </row>
    <row r="154" spans="1:12" ht="20.25" customHeight="1">
      <c r="A154" s="3">
        <v>152</v>
      </c>
      <c r="B154" s="8">
        <v>180034</v>
      </c>
      <c r="C154" s="9"/>
      <c r="D154" s="9" t="str">
        <f>"2018010606"</f>
        <v>2018010606</v>
      </c>
      <c r="E154" s="9">
        <v>37</v>
      </c>
      <c r="F154" s="9">
        <v>100</v>
      </c>
      <c r="G154" s="9">
        <f t="shared" si="10"/>
        <v>81.1</v>
      </c>
      <c r="H154" s="9" t="s">
        <v>23</v>
      </c>
      <c r="I154" s="4">
        <v>78.2</v>
      </c>
      <c r="J154" s="4">
        <f>ROUND(I154*77.85/76.94,2)</f>
        <v>79.12</v>
      </c>
      <c r="K154" s="4">
        <f t="shared" si="9"/>
        <v>72.2</v>
      </c>
      <c r="L154" s="16"/>
    </row>
    <row r="155" spans="1:12" ht="20.25" customHeight="1">
      <c r="A155" s="3">
        <v>153</v>
      </c>
      <c r="B155" s="8">
        <v>180034</v>
      </c>
      <c r="C155" s="9"/>
      <c r="D155" s="9" t="str">
        <f>"2018010712"</f>
        <v>2018010712</v>
      </c>
      <c r="E155" s="9">
        <v>38.5</v>
      </c>
      <c r="F155" s="9">
        <v>98</v>
      </c>
      <c r="G155" s="9">
        <f t="shared" si="10"/>
        <v>80.14999999999999</v>
      </c>
      <c r="H155" s="9" t="s">
        <v>26</v>
      </c>
      <c r="I155" s="4">
        <v>81.2</v>
      </c>
      <c r="J155" s="4">
        <f>ROUND(I155*77.85/78.72,2)</f>
        <v>80.3</v>
      </c>
      <c r="K155" s="4">
        <f t="shared" si="9"/>
        <v>72.2</v>
      </c>
      <c r="L155" s="16"/>
    </row>
    <row r="156" spans="1:12" ht="20.25" customHeight="1">
      <c r="A156" s="3">
        <v>154</v>
      </c>
      <c r="B156" s="8">
        <v>180034</v>
      </c>
      <c r="C156" s="9"/>
      <c r="D156" s="9" t="str">
        <f>"2018011621"</f>
        <v>2018011621</v>
      </c>
      <c r="E156" s="9">
        <v>39</v>
      </c>
      <c r="F156" s="9">
        <v>100</v>
      </c>
      <c r="G156" s="9">
        <f t="shared" si="10"/>
        <v>81.7</v>
      </c>
      <c r="H156" s="9" t="s">
        <v>28</v>
      </c>
      <c r="I156" s="4">
        <v>75.8</v>
      </c>
      <c r="J156" s="4">
        <f>ROUND(I156*77.85/75.61,2)</f>
        <v>78.05</v>
      </c>
      <c r="K156" s="4">
        <f t="shared" si="9"/>
        <v>72.07</v>
      </c>
      <c r="L156" s="16"/>
    </row>
    <row r="157" spans="1:12" ht="20.25" customHeight="1">
      <c r="A157" s="3">
        <v>155</v>
      </c>
      <c r="B157" s="8">
        <v>180034</v>
      </c>
      <c r="C157" s="9"/>
      <c r="D157" s="9" t="str">
        <f>"2018011801"</f>
        <v>2018011801</v>
      </c>
      <c r="E157" s="9">
        <v>44.5</v>
      </c>
      <c r="F157" s="9">
        <v>101</v>
      </c>
      <c r="G157" s="9">
        <f t="shared" si="10"/>
        <v>84.04999999999998</v>
      </c>
      <c r="H157" s="9" t="s">
        <v>23</v>
      </c>
      <c r="I157" s="4">
        <v>73.6</v>
      </c>
      <c r="J157" s="4">
        <f>ROUND(I157*77.85/76.94,2)</f>
        <v>74.47</v>
      </c>
      <c r="K157" s="4">
        <f t="shared" si="9"/>
        <v>71.81</v>
      </c>
      <c r="L157" s="16"/>
    </row>
    <row r="158" spans="1:12" ht="20.25" customHeight="1">
      <c r="A158" s="3">
        <v>156</v>
      </c>
      <c r="B158" s="8">
        <v>180034</v>
      </c>
      <c r="C158" s="9"/>
      <c r="D158" s="9" t="str">
        <f>"2018010823"</f>
        <v>2018010823</v>
      </c>
      <c r="E158" s="9">
        <v>31</v>
      </c>
      <c r="F158" s="9">
        <v>103</v>
      </c>
      <c r="G158" s="9">
        <f t="shared" si="10"/>
        <v>81.39999999999999</v>
      </c>
      <c r="H158" s="9" t="s">
        <v>26</v>
      </c>
      <c r="I158" s="4">
        <v>77.9</v>
      </c>
      <c r="J158" s="4">
        <f>ROUND(I158*77.85/78.72,2)</f>
        <v>77.04</v>
      </c>
      <c r="K158" s="4">
        <f t="shared" si="9"/>
        <v>71.52</v>
      </c>
      <c r="L158" s="16"/>
    </row>
    <row r="159" spans="1:12" ht="20.25" customHeight="1">
      <c r="A159" s="3">
        <v>157</v>
      </c>
      <c r="B159" s="8">
        <v>180034</v>
      </c>
      <c r="C159" s="9"/>
      <c r="D159" s="9" t="str">
        <f>"2018011624"</f>
        <v>2018011624</v>
      </c>
      <c r="E159" s="9">
        <v>58</v>
      </c>
      <c r="F159" s="9">
        <v>88</v>
      </c>
      <c r="G159" s="9">
        <f t="shared" si="10"/>
        <v>79</v>
      </c>
      <c r="H159" s="9" t="s">
        <v>27</v>
      </c>
      <c r="I159" s="4">
        <v>82.6</v>
      </c>
      <c r="J159" s="4">
        <f>ROUND(I159*77.85/80.36,2)</f>
        <v>80.02</v>
      </c>
      <c r="K159" s="4">
        <f t="shared" si="9"/>
        <v>71.51</v>
      </c>
      <c r="L159" s="16"/>
    </row>
    <row r="160" spans="1:12" ht="20.25" customHeight="1">
      <c r="A160" s="3">
        <v>158</v>
      </c>
      <c r="B160" s="8">
        <v>180034</v>
      </c>
      <c r="C160" s="9"/>
      <c r="D160" s="9" t="str">
        <f>"2018011514"</f>
        <v>2018011514</v>
      </c>
      <c r="E160" s="9">
        <v>36</v>
      </c>
      <c r="F160" s="9">
        <v>97</v>
      </c>
      <c r="G160" s="9">
        <f t="shared" si="10"/>
        <v>78.69999999999999</v>
      </c>
      <c r="H160" s="9" t="s">
        <v>26</v>
      </c>
      <c r="I160" s="4">
        <v>81.2</v>
      </c>
      <c r="J160" s="4">
        <f>ROUND(I160*77.85/78.72,2)</f>
        <v>80.3</v>
      </c>
      <c r="K160" s="4">
        <f t="shared" si="9"/>
        <v>71.47</v>
      </c>
      <c r="L160" s="16"/>
    </row>
    <row r="161" spans="1:12" ht="20.25" customHeight="1">
      <c r="A161" s="3">
        <v>159</v>
      </c>
      <c r="B161" s="8">
        <v>180034</v>
      </c>
      <c r="C161" s="9"/>
      <c r="D161" s="9" t="str">
        <f>"2018011923"</f>
        <v>2018011923</v>
      </c>
      <c r="E161" s="9">
        <v>29.5</v>
      </c>
      <c r="F161" s="9">
        <v>101</v>
      </c>
      <c r="G161" s="9">
        <f t="shared" si="10"/>
        <v>79.54999999999998</v>
      </c>
      <c r="H161" s="9" t="s">
        <v>23</v>
      </c>
      <c r="I161" s="4">
        <v>78</v>
      </c>
      <c r="J161" s="4">
        <f>ROUND(I161*77.85/76.94,2)</f>
        <v>78.92</v>
      </c>
      <c r="K161" s="4">
        <f t="shared" si="9"/>
        <v>71.34</v>
      </c>
      <c r="L161" s="16"/>
    </row>
    <row r="162" spans="1:12" ht="20.25" customHeight="1">
      <c r="A162" s="3">
        <v>160</v>
      </c>
      <c r="B162" s="8">
        <v>180034</v>
      </c>
      <c r="C162" s="9"/>
      <c r="D162" s="9" t="str">
        <f>"2018011927"</f>
        <v>2018011927</v>
      </c>
      <c r="E162" s="9">
        <v>29.5</v>
      </c>
      <c r="F162" s="9">
        <v>103</v>
      </c>
      <c r="G162" s="9">
        <f t="shared" si="10"/>
        <v>80.94999999999999</v>
      </c>
      <c r="H162" s="9" t="s">
        <v>23</v>
      </c>
      <c r="I162" s="4">
        <v>76</v>
      </c>
      <c r="J162" s="4">
        <f>ROUND(I162*77.85/76.94,2)</f>
        <v>76.9</v>
      </c>
      <c r="K162" s="4">
        <f t="shared" si="9"/>
        <v>71.24</v>
      </c>
      <c r="L162" s="16"/>
    </row>
    <row r="163" spans="1:12" ht="20.25" customHeight="1">
      <c r="A163" s="3">
        <v>161</v>
      </c>
      <c r="B163" s="8">
        <v>180034</v>
      </c>
      <c r="C163" s="9"/>
      <c r="D163" s="9" t="str">
        <f>"2018011013"</f>
        <v>2018011013</v>
      </c>
      <c r="E163" s="9">
        <v>53</v>
      </c>
      <c r="F163" s="9">
        <v>96</v>
      </c>
      <c r="G163" s="9">
        <f t="shared" si="10"/>
        <v>83.1</v>
      </c>
      <c r="H163" s="9" t="s">
        <v>26</v>
      </c>
      <c r="I163" s="4">
        <v>74.9</v>
      </c>
      <c r="J163" s="4">
        <f>ROUND(I163*77.85/78.72,2)</f>
        <v>74.07</v>
      </c>
      <c r="K163" s="4">
        <f t="shared" si="9"/>
        <v>71.18</v>
      </c>
      <c r="L163" s="16"/>
    </row>
    <row r="164" spans="1:12" ht="20.25" customHeight="1">
      <c r="A164" s="3">
        <v>162</v>
      </c>
      <c r="B164" s="8">
        <v>180034</v>
      </c>
      <c r="C164" s="9"/>
      <c r="D164" s="9" t="str">
        <f>"2018010809"</f>
        <v>2018010809</v>
      </c>
      <c r="E164" s="9">
        <v>50</v>
      </c>
      <c r="F164" s="9">
        <v>96</v>
      </c>
      <c r="G164" s="9">
        <f t="shared" si="10"/>
        <v>82.19999999999999</v>
      </c>
      <c r="H164" s="9" t="s">
        <v>26</v>
      </c>
      <c r="I164" s="4">
        <v>75.84</v>
      </c>
      <c r="J164" s="4">
        <f>ROUND(I164*77.85/78.72,2)</f>
        <v>75</v>
      </c>
      <c r="K164" s="4">
        <f t="shared" si="9"/>
        <v>71.1</v>
      </c>
      <c r="L164" s="16"/>
    </row>
    <row r="165" spans="1:12" ht="20.25" customHeight="1">
      <c r="A165" s="3">
        <v>163</v>
      </c>
      <c r="B165" s="8">
        <v>180034</v>
      </c>
      <c r="C165" s="9"/>
      <c r="D165" s="9" t="str">
        <f>"2018011505"</f>
        <v>2018011505</v>
      </c>
      <c r="E165" s="9">
        <v>54.5</v>
      </c>
      <c r="F165" s="9">
        <v>91</v>
      </c>
      <c r="G165" s="9">
        <f t="shared" si="10"/>
        <v>80.05</v>
      </c>
      <c r="H165" s="9" t="s">
        <v>28</v>
      </c>
      <c r="I165" s="4">
        <v>75.2</v>
      </c>
      <c r="J165" s="4">
        <f>ROUND(I165*77.85/75.61,2)</f>
        <v>77.43</v>
      </c>
      <c r="K165" s="4">
        <f t="shared" si="9"/>
        <v>71</v>
      </c>
      <c r="L165" s="16"/>
    </row>
    <row r="166" spans="1:12" ht="20.25" customHeight="1">
      <c r="A166" s="3">
        <v>164</v>
      </c>
      <c r="B166" s="8">
        <v>180034</v>
      </c>
      <c r="C166" s="9"/>
      <c r="D166" s="9" t="str">
        <f>"2018011802"</f>
        <v>2018011802</v>
      </c>
      <c r="E166" s="9">
        <v>50</v>
      </c>
      <c r="F166" s="9">
        <v>90</v>
      </c>
      <c r="G166" s="9">
        <f t="shared" si="10"/>
        <v>78</v>
      </c>
      <c r="H166" s="9" t="s">
        <v>23</v>
      </c>
      <c r="I166" s="4">
        <v>78.8</v>
      </c>
      <c r="J166" s="4">
        <f>ROUND(I166*77.85/76.94,2)</f>
        <v>79.73</v>
      </c>
      <c r="K166" s="4">
        <f t="shared" si="9"/>
        <v>70.89</v>
      </c>
      <c r="L166" s="16"/>
    </row>
    <row r="167" spans="1:12" ht="20.25" customHeight="1">
      <c r="A167" s="3">
        <v>165</v>
      </c>
      <c r="B167" s="8">
        <v>180034</v>
      </c>
      <c r="C167" s="9"/>
      <c r="D167" s="9" t="str">
        <f>"2018012017"</f>
        <v>2018012017</v>
      </c>
      <c r="E167" s="9">
        <v>42</v>
      </c>
      <c r="F167" s="9">
        <v>101</v>
      </c>
      <c r="G167" s="9">
        <f t="shared" si="10"/>
        <v>83.29999999999998</v>
      </c>
      <c r="H167" s="9" t="s">
        <v>23</v>
      </c>
      <c r="I167" s="4">
        <v>72.2</v>
      </c>
      <c r="J167" s="4">
        <f>ROUND(I167*77.85/76.94,2)</f>
        <v>73.05</v>
      </c>
      <c r="K167" s="4">
        <f t="shared" si="9"/>
        <v>70.87</v>
      </c>
      <c r="L167" s="16"/>
    </row>
    <row r="168" spans="1:12" ht="20.25" customHeight="1">
      <c r="A168" s="3">
        <v>166</v>
      </c>
      <c r="B168" s="8">
        <v>180034</v>
      </c>
      <c r="C168" s="9"/>
      <c r="D168" s="9" t="str">
        <f>"2018011902"</f>
        <v>2018011902</v>
      </c>
      <c r="E168" s="9">
        <v>36</v>
      </c>
      <c r="F168" s="9">
        <v>105</v>
      </c>
      <c r="G168" s="9">
        <f t="shared" si="10"/>
        <v>84.3</v>
      </c>
      <c r="H168" s="9" t="s">
        <v>28</v>
      </c>
      <c r="I168" s="4">
        <v>69</v>
      </c>
      <c r="J168" s="4">
        <f>ROUND(I168*77.85/75.61,2)</f>
        <v>71.04</v>
      </c>
      <c r="K168" s="4">
        <f t="shared" si="9"/>
        <v>70.57</v>
      </c>
      <c r="L168" s="16"/>
    </row>
    <row r="169" spans="1:12" ht="20.25" customHeight="1">
      <c r="A169" s="3">
        <v>167</v>
      </c>
      <c r="B169" s="8">
        <v>180034</v>
      </c>
      <c r="C169" s="9"/>
      <c r="D169" s="9" t="str">
        <f>"2018010730"</f>
        <v>2018010730</v>
      </c>
      <c r="E169" s="9">
        <v>39</v>
      </c>
      <c r="F169" s="9">
        <v>95</v>
      </c>
      <c r="G169" s="9">
        <f t="shared" si="10"/>
        <v>78.2</v>
      </c>
      <c r="H169" s="9" t="s">
        <v>23</v>
      </c>
      <c r="I169" s="4">
        <v>77.4</v>
      </c>
      <c r="J169" s="4">
        <f>ROUND(I169*77.85/76.94,2)</f>
        <v>78.32</v>
      </c>
      <c r="K169" s="4">
        <f t="shared" si="9"/>
        <v>70.43</v>
      </c>
      <c r="L169" s="16"/>
    </row>
    <row r="170" spans="1:12" ht="20.25" customHeight="1">
      <c r="A170" s="3">
        <v>168</v>
      </c>
      <c r="B170" s="8">
        <v>180034</v>
      </c>
      <c r="C170" s="9"/>
      <c r="D170" s="9" t="str">
        <f>"2018012206"</f>
        <v>2018012206</v>
      </c>
      <c r="E170" s="9">
        <v>39</v>
      </c>
      <c r="F170" s="9">
        <v>100</v>
      </c>
      <c r="G170" s="9">
        <f t="shared" si="10"/>
        <v>81.7</v>
      </c>
      <c r="H170" s="9" t="s">
        <v>23</v>
      </c>
      <c r="I170" s="4">
        <v>73</v>
      </c>
      <c r="J170" s="4">
        <f>ROUND(I170*77.85/76.94,2)</f>
        <v>73.86</v>
      </c>
      <c r="K170" s="4">
        <f t="shared" si="9"/>
        <v>70.39</v>
      </c>
      <c r="L170" s="16"/>
    </row>
    <row r="171" spans="1:12" ht="20.25" customHeight="1">
      <c r="A171" s="3">
        <v>169</v>
      </c>
      <c r="B171" s="8">
        <v>180034</v>
      </c>
      <c r="C171" s="9"/>
      <c r="D171" s="9" t="str">
        <f>"2018010616"</f>
        <v>2018010616</v>
      </c>
      <c r="E171" s="9">
        <v>46</v>
      </c>
      <c r="F171" s="9">
        <v>92</v>
      </c>
      <c r="G171" s="9">
        <f t="shared" si="10"/>
        <v>78.19999999999999</v>
      </c>
      <c r="H171" s="9" t="s">
        <v>23</v>
      </c>
      <c r="I171" s="4">
        <v>77</v>
      </c>
      <c r="J171" s="4">
        <f>ROUND(I171*77.85/76.94,2)</f>
        <v>77.91</v>
      </c>
      <c r="K171" s="4">
        <f t="shared" si="9"/>
        <v>70.26</v>
      </c>
      <c r="L171" s="16"/>
    </row>
    <row r="172" spans="1:12" ht="20.25" customHeight="1">
      <c r="A172" s="3">
        <v>170</v>
      </c>
      <c r="B172" s="8">
        <v>180034</v>
      </c>
      <c r="C172" s="11"/>
      <c r="D172" s="13">
        <v>2018011513</v>
      </c>
      <c r="E172" s="11">
        <v>31.5</v>
      </c>
      <c r="F172" s="11">
        <v>96</v>
      </c>
      <c r="G172" s="11">
        <v>76.65</v>
      </c>
      <c r="H172" s="12" t="s">
        <v>23</v>
      </c>
      <c r="I172" s="4">
        <v>78.8</v>
      </c>
      <c r="J172" s="4">
        <f>ROUND(I172*77.85/76.94,2)</f>
        <v>79.73</v>
      </c>
      <c r="K172" s="4">
        <f t="shared" si="9"/>
        <v>70.22</v>
      </c>
      <c r="L172" s="16"/>
    </row>
    <row r="173" spans="1:12" ht="20.25" customHeight="1">
      <c r="A173" s="3">
        <v>171</v>
      </c>
      <c r="B173" s="8">
        <v>180034</v>
      </c>
      <c r="C173" s="11"/>
      <c r="D173" s="11" t="s">
        <v>4</v>
      </c>
      <c r="E173" s="11">
        <v>39.5</v>
      </c>
      <c r="F173" s="11">
        <v>93</v>
      </c>
      <c r="G173" s="11">
        <v>76.94999999999999</v>
      </c>
      <c r="H173" s="12" t="s">
        <v>28</v>
      </c>
      <c r="I173" s="4">
        <v>77</v>
      </c>
      <c r="J173" s="4">
        <f>ROUND(I173*77.85/75.61,2)</f>
        <v>79.28</v>
      </c>
      <c r="K173" s="4">
        <f t="shared" si="9"/>
        <v>70.19</v>
      </c>
      <c r="L173" s="16"/>
    </row>
    <row r="174" spans="1:12" ht="20.25" customHeight="1">
      <c r="A174" s="3">
        <v>172</v>
      </c>
      <c r="B174" s="8">
        <v>180034</v>
      </c>
      <c r="C174" s="9"/>
      <c r="D174" s="9" t="str">
        <f>"2018011916"</f>
        <v>2018011916</v>
      </c>
      <c r="E174" s="9">
        <v>53.5</v>
      </c>
      <c r="F174" s="9">
        <v>96</v>
      </c>
      <c r="G174" s="9">
        <f>E174*0.3+F174*0.7</f>
        <v>83.24999999999999</v>
      </c>
      <c r="H174" s="9" t="s">
        <v>27</v>
      </c>
      <c r="I174" s="4">
        <v>73.6</v>
      </c>
      <c r="J174" s="4">
        <f>ROUND(I174*77.85/80.36,2)</f>
        <v>71.3</v>
      </c>
      <c r="K174" s="4">
        <f t="shared" si="9"/>
        <v>70.15</v>
      </c>
      <c r="L174" s="16"/>
    </row>
    <row r="175" spans="1:12" ht="20.25" customHeight="1">
      <c r="A175" s="3">
        <v>173</v>
      </c>
      <c r="B175" s="8">
        <v>180034</v>
      </c>
      <c r="C175" s="9"/>
      <c r="D175" s="9" t="str">
        <f>"2018011810"</f>
        <v>2018011810</v>
      </c>
      <c r="E175" s="9">
        <v>55.5</v>
      </c>
      <c r="F175" s="9">
        <v>89</v>
      </c>
      <c r="G175" s="9">
        <f>E175*0.3+F175*0.7</f>
        <v>78.94999999999999</v>
      </c>
      <c r="H175" s="9" t="s">
        <v>27</v>
      </c>
      <c r="I175" s="4">
        <v>79</v>
      </c>
      <c r="J175" s="4">
        <f>ROUND(I175*77.85/80.36,2)</f>
        <v>76.53</v>
      </c>
      <c r="K175" s="4">
        <f t="shared" si="9"/>
        <v>70.09</v>
      </c>
      <c r="L175" s="16"/>
    </row>
    <row r="176" spans="1:12" ht="20.25" customHeight="1">
      <c r="A176" s="3">
        <v>174</v>
      </c>
      <c r="B176" s="8">
        <v>180034</v>
      </c>
      <c r="C176" s="9"/>
      <c r="D176" s="9" t="str">
        <f>"2018011206"</f>
        <v>2018011206</v>
      </c>
      <c r="E176" s="9">
        <v>32</v>
      </c>
      <c r="F176" s="9">
        <v>99</v>
      </c>
      <c r="G176" s="9">
        <f>E176*0.3+F176*0.7</f>
        <v>78.89999999999999</v>
      </c>
      <c r="H176" s="9" t="s">
        <v>27</v>
      </c>
      <c r="I176" s="4">
        <v>79</v>
      </c>
      <c r="J176" s="4">
        <f>ROUND(I176*77.85/80.36,2)</f>
        <v>76.53</v>
      </c>
      <c r="K176" s="4">
        <f t="shared" si="9"/>
        <v>70.06</v>
      </c>
      <c r="L176" s="16"/>
    </row>
    <row r="177" spans="1:12" ht="20.25" customHeight="1">
      <c r="A177" s="3">
        <v>175</v>
      </c>
      <c r="B177" s="8">
        <v>180034</v>
      </c>
      <c r="C177" s="9"/>
      <c r="D177" s="9" t="str">
        <f>"2018011518"</f>
        <v>2018011518</v>
      </c>
      <c r="E177" s="9">
        <v>45.5</v>
      </c>
      <c r="F177" s="9">
        <v>94</v>
      </c>
      <c r="G177" s="9">
        <f>E177*0.3+F177*0.7</f>
        <v>79.45</v>
      </c>
      <c r="H177" s="9" t="s">
        <v>26</v>
      </c>
      <c r="I177" s="4">
        <v>75.8</v>
      </c>
      <c r="J177" s="4">
        <f>ROUND(I177*77.85/78.72,2)</f>
        <v>74.96</v>
      </c>
      <c r="K177" s="4">
        <f t="shared" si="9"/>
        <v>69.71</v>
      </c>
      <c r="L177" s="16"/>
    </row>
    <row r="178" spans="1:12" ht="20.25" customHeight="1">
      <c r="A178" s="3">
        <v>176</v>
      </c>
      <c r="B178" s="8">
        <v>180034</v>
      </c>
      <c r="C178" s="11"/>
      <c r="D178" s="11" t="s">
        <v>1</v>
      </c>
      <c r="E178" s="11">
        <v>58.5</v>
      </c>
      <c r="F178" s="11">
        <v>85</v>
      </c>
      <c r="G178" s="11">
        <v>77.05</v>
      </c>
      <c r="H178" s="12" t="s">
        <v>26</v>
      </c>
      <c r="I178" s="4">
        <v>78.8</v>
      </c>
      <c r="J178" s="4">
        <f>ROUND(I178*77.85/78.72,2)</f>
        <v>77.93</v>
      </c>
      <c r="K178" s="4">
        <f t="shared" si="9"/>
        <v>69.7</v>
      </c>
      <c r="L178" s="16"/>
    </row>
    <row r="179" spans="1:12" ht="20.25" customHeight="1">
      <c r="A179" s="3">
        <v>177</v>
      </c>
      <c r="B179" s="8">
        <v>180034</v>
      </c>
      <c r="C179" s="9"/>
      <c r="D179" s="9" t="str">
        <f>"2018012121"</f>
        <v>2018012121</v>
      </c>
      <c r="E179" s="9">
        <v>39.5</v>
      </c>
      <c r="F179" s="9">
        <v>95</v>
      </c>
      <c r="G179" s="9">
        <f>E179*0.3+F179*0.7</f>
        <v>78.35</v>
      </c>
      <c r="H179" s="9" t="s">
        <v>23</v>
      </c>
      <c r="I179" s="4">
        <v>75.4</v>
      </c>
      <c r="J179" s="4">
        <f>ROUND(I179*77.85/76.94,2)</f>
        <v>76.29</v>
      </c>
      <c r="K179" s="4">
        <f t="shared" si="9"/>
        <v>69.69</v>
      </c>
      <c r="L179" s="16"/>
    </row>
    <row r="180" spans="1:12" ht="20.25" customHeight="1">
      <c r="A180" s="3">
        <v>178</v>
      </c>
      <c r="B180" s="8">
        <v>180034</v>
      </c>
      <c r="C180" s="9"/>
      <c r="D180" s="9" t="str">
        <f>"2018010901"</f>
        <v>2018010901</v>
      </c>
      <c r="E180" s="9">
        <v>49</v>
      </c>
      <c r="F180" s="9">
        <v>91</v>
      </c>
      <c r="G180" s="9">
        <f>E180*0.3+F180*0.7</f>
        <v>78.39999999999999</v>
      </c>
      <c r="H180" s="9" t="s">
        <v>28</v>
      </c>
      <c r="I180" s="4">
        <v>74</v>
      </c>
      <c r="J180" s="4">
        <f>ROUND(I180*77.85/75.61,2)</f>
        <v>76.19</v>
      </c>
      <c r="K180" s="4">
        <f t="shared" si="9"/>
        <v>69.68</v>
      </c>
      <c r="L180" s="16"/>
    </row>
    <row r="181" spans="1:12" ht="20.25" customHeight="1">
      <c r="A181" s="3">
        <v>179</v>
      </c>
      <c r="B181" s="8">
        <v>180034</v>
      </c>
      <c r="C181" s="9"/>
      <c r="D181" s="9" t="str">
        <f>"2018010913"</f>
        <v>2018010913</v>
      </c>
      <c r="E181" s="9">
        <v>42.5</v>
      </c>
      <c r="F181" s="9">
        <v>93</v>
      </c>
      <c r="G181" s="9">
        <f>E181*0.3+F181*0.7</f>
        <v>77.85</v>
      </c>
      <c r="H181" s="9" t="s">
        <v>27</v>
      </c>
      <c r="I181" s="4">
        <v>79</v>
      </c>
      <c r="J181" s="4">
        <f>ROUND(I181*77.85/80.36,2)</f>
        <v>76.53</v>
      </c>
      <c r="K181" s="4">
        <f t="shared" si="9"/>
        <v>69.54</v>
      </c>
      <c r="L181" s="16"/>
    </row>
    <row r="182" spans="1:12" ht="20.25" customHeight="1">
      <c r="A182" s="3">
        <v>180</v>
      </c>
      <c r="B182" s="8">
        <v>180034</v>
      </c>
      <c r="C182" s="11"/>
      <c r="D182" s="11" t="s">
        <v>10</v>
      </c>
      <c r="E182" s="11">
        <v>33</v>
      </c>
      <c r="F182" s="11">
        <v>95.5</v>
      </c>
      <c r="G182" s="11">
        <v>76.75</v>
      </c>
      <c r="H182" s="12" t="s">
        <v>23</v>
      </c>
      <c r="I182" s="4">
        <v>77</v>
      </c>
      <c r="J182" s="4">
        <f>ROUND(I182*77.85/76.94,2)</f>
        <v>77.91</v>
      </c>
      <c r="K182" s="4">
        <f t="shared" si="9"/>
        <v>69.54</v>
      </c>
      <c r="L182" s="16"/>
    </row>
    <row r="183" spans="1:12" ht="20.25" customHeight="1">
      <c r="A183" s="3">
        <v>181</v>
      </c>
      <c r="B183" s="8">
        <v>180034</v>
      </c>
      <c r="C183" s="9"/>
      <c r="D183" s="9" t="str">
        <f>"2018011102"</f>
        <v>2018011102</v>
      </c>
      <c r="E183" s="9">
        <v>31</v>
      </c>
      <c r="F183" s="9">
        <v>97</v>
      </c>
      <c r="G183" s="9">
        <f aca="true" t="shared" si="11" ref="G183:G188">E183*0.3+F183*0.7</f>
        <v>77.19999999999999</v>
      </c>
      <c r="H183" s="9" t="s">
        <v>26</v>
      </c>
      <c r="I183" s="4">
        <v>77.8</v>
      </c>
      <c r="J183" s="4">
        <f>ROUND(I183*77.85/78.72,2)</f>
        <v>76.94</v>
      </c>
      <c r="K183" s="4">
        <f t="shared" si="9"/>
        <v>69.38</v>
      </c>
      <c r="L183" s="16"/>
    </row>
    <row r="184" spans="1:12" ht="20.25" customHeight="1">
      <c r="A184" s="3">
        <v>182</v>
      </c>
      <c r="B184" s="8">
        <v>180034</v>
      </c>
      <c r="C184" s="9"/>
      <c r="D184" s="9" t="str">
        <f>"2018010801"</f>
        <v>2018010801</v>
      </c>
      <c r="E184" s="9">
        <v>33.5</v>
      </c>
      <c r="F184" s="9">
        <v>97</v>
      </c>
      <c r="G184" s="9">
        <f t="shared" si="11"/>
        <v>77.94999999999999</v>
      </c>
      <c r="H184" s="9" t="s">
        <v>26</v>
      </c>
      <c r="I184" s="4">
        <v>76.7</v>
      </c>
      <c r="J184" s="4">
        <f>ROUND(I184*77.85/78.72,2)</f>
        <v>75.85</v>
      </c>
      <c r="K184" s="4">
        <f t="shared" si="9"/>
        <v>69.32</v>
      </c>
      <c r="L184" s="16"/>
    </row>
    <row r="185" spans="1:12" ht="20.25" customHeight="1">
      <c r="A185" s="3">
        <v>183</v>
      </c>
      <c r="B185" s="8">
        <v>180034</v>
      </c>
      <c r="C185" s="9"/>
      <c r="D185" s="9" t="str">
        <f>"2018012013"</f>
        <v>2018012013</v>
      </c>
      <c r="E185" s="9">
        <v>45</v>
      </c>
      <c r="F185" s="9">
        <v>91</v>
      </c>
      <c r="G185" s="9">
        <f t="shared" si="11"/>
        <v>77.19999999999999</v>
      </c>
      <c r="H185" s="9" t="s">
        <v>26</v>
      </c>
      <c r="I185" s="4">
        <v>77.5</v>
      </c>
      <c r="J185" s="4">
        <f>ROUND(I185*77.85/78.72,2)</f>
        <v>76.64</v>
      </c>
      <c r="K185" s="4">
        <f t="shared" si="9"/>
        <v>69.26</v>
      </c>
      <c r="L185" s="16"/>
    </row>
    <row r="186" spans="1:12" ht="20.25" customHeight="1">
      <c r="A186" s="3">
        <v>184</v>
      </c>
      <c r="B186" s="8">
        <v>180034</v>
      </c>
      <c r="C186" s="9"/>
      <c r="D186" s="9" t="str">
        <f>"2018011316"</f>
        <v>2018011316</v>
      </c>
      <c r="E186" s="9">
        <v>45</v>
      </c>
      <c r="F186" s="9">
        <v>94</v>
      </c>
      <c r="G186" s="9">
        <f t="shared" si="11"/>
        <v>79.3</v>
      </c>
      <c r="H186" s="9" t="s">
        <v>26</v>
      </c>
      <c r="I186" s="4">
        <v>74.6</v>
      </c>
      <c r="J186" s="4">
        <f>ROUND(I186*77.85/78.72,2)</f>
        <v>73.78</v>
      </c>
      <c r="K186" s="4">
        <f t="shared" si="9"/>
        <v>69.16</v>
      </c>
      <c r="L186" s="16"/>
    </row>
    <row r="187" spans="1:12" ht="20.25" customHeight="1">
      <c r="A187" s="3">
        <v>185</v>
      </c>
      <c r="B187" s="8">
        <v>180034</v>
      </c>
      <c r="C187" s="9"/>
      <c r="D187" s="9" t="str">
        <f>"2018011212"</f>
        <v>2018011212</v>
      </c>
      <c r="E187" s="9">
        <v>30.5</v>
      </c>
      <c r="F187" s="9">
        <v>98</v>
      </c>
      <c r="G187" s="9">
        <f t="shared" si="11"/>
        <v>77.75</v>
      </c>
      <c r="H187" s="9" t="s">
        <v>27</v>
      </c>
      <c r="I187" s="4">
        <v>77.7</v>
      </c>
      <c r="J187" s="4">
        <f>ROUND(I187*77.85/80.36,2)</f>
        <v>75.27</v>
      </c>
      <c r="K187" s="4">
        <f t="shared" si="9"/>
        <v>68.98</v>
      </c>
      <c r="L187" s="16"/>
    </row>
    <row r="188" spans="1:12" ht="20.25" customHeight="1">
      <c r="A188" s="3">
        <v>186</v>
      </c>
      <c r="B188" s="8">
        <v>180034</v>
      </c>
      <c r="C188" s="9"/>
      <c r="D188" s="9" t="str">
        <f>"2018011504"</f>
        <v>2018011504</v>
      </c>
      <c r="E188" s="9">
        <v>35.5</v>
      </c>
      <c r="F188" s="9">
        <v>95</v>
      </c>
      <c r="G188" s="9">
        <f t="shared" si="11"/>
        <v>77.15</v>
      </c>
      <c r="H188" s="9" t="s">
        <v>28</v>
      </c>
      <c r="I188" s="4">
        <v>73.4</v>
      </c>
      <c r="J188" s="4">
        <f>ROUND(I188*77.85/75.61,2)</f>
        <v>75.57</v>
      </c>
      <c r="K188" s="4">
        <f t="shared" si="9"/>
        <v>68.8</v>
      </c>
      <c r="L188" s="16"/>
    </row>
    <row r="189" spans="1:12" ht="20.25" customHeight="1">
      <c r="A189" s="3">
        <v>187</v>
      </c>
      <c r="B189" s="8">
        <v>180034</v>
      </c>
      <c r="C189" s="11"/>
      <c r="D189" s="11" t="s">
        <v>9</v>
      </c>
      <c r="E189" s="11">
        <v>36.5</v>
      </c>
      <c r="F189" s="11">
        <v>94</v>
      </c>
      <c r="G189" s="11">
        <v>76.75</v>
      </c>
      <c r="H189" s="12" t="s">
        <v>27</v>
      </c>
      <c r="I189" s="4">
        <v>78.2</v>
      </c>
      <c r="J189" s="4">
        <f>ROUND(I189*77.85/80.36,2)</f>
        <v>75.76</v>
      </c>
      <c r="K189" s="4">
        <f t="shared" si="9"/>
        <v>68.68</v>
      </c>
      <c r="L189" s="16"/>
    </row>
    <row r="190" spans="1:12" ht="20.25" customHeight="1">
      <c r="A190" s="3">
        <v>188</v>
      </c>
      <c r="B190" s="8">
        <v>180034</v>
      </c>
      <c r="C190" s="9"/>
      <c r="D190" s="9" t="str">
        <f>"2018011723"</f>
        <v>2018011723</v>
      </c>
      <c r="E190" s="9">
        <v>46</v>
      </c>
      <c r="F190" s="9">
        <v>91</v>
      </c>
      <c r="G190" s="9">
        <f>E190*0.3+F190*0.7</f>
        <v>77.5</v>
      </c>
      <c r="H190" s="9" t="s">
        <v>26</v>
      </c>
      <c r="I190" s="4">
        <v>75.2</v>
      </c>
      <c r="J190" s="4">
        <f>ROUND(I190*77.85/78.72,2)</f>
        <v>74.37</v>
      </c>
      <c r="K190" s="4">
        <f t="shared" si="9"/>
        <v>68.5</v>
      </c>
      <c r="L190" s="16"/>
    </row>
    <row r="191" spans="1:12" ht="20.25" customHeight="1">
      <c r="A191" s="3">
        <v>189</v>
      </c>
      <c r="B191" s="8">
        <v>180034</v>
      </c>
      <c r="C191" s="9"/>
      <c r="D191" s="9" t="str">
        <f>"2018011907"</f>
        <v>2018011907</v>
      </c>
      <c r="E191" s="9">
        <v>32.5</v>
      </c>
      <c r="F191" s="9">
        <v>99</v>
      </c>
      <c r="G191" s="9">
        <f>E191*0.3+F191*0.7</f>
        <v>79.05</v>
      </c>
      <c r="H191" s="9" t="s">
        <v>26</v>
      </c>
      <c r="I191" s="4">
        <v>72.8</v>
      </c>
      <c r="J191" s="4">
        <f>ROUND(I191*77.85/78.72,2)</f>
        <v>72</v>
      </c>
      <c r="K191" s="4">
        <f t="shared" si="9"/>
        <v>68.33</v>
      </c>
      <c r="L191" s="16"/>
    </row>
    <row r="192" spans="1:12" ht="20.25" customHeight="1">
      <c r="A192" s="3">
        <v>190</v>
      </c>
      <c r="B192" s="8">
        <v>180034</v>
      </c>
      <c r="C192" s="9"/>
      <c r="D192" s="9" t="str">
        <f>"2018010702"</f>
        <v>2018010702</v>
      </c>
      <c r="E192" s="9">
        <v>43</v>
      </c>
      <c r="F192" s="9">
        <v>93</v>
      </c>
      <c r="G192" s="9">
        <f>E192*0.3+F192*0.7</f>
        <v>78</v>
      </c>
      <c r="H192" s="9" t="s">
        <v>27</v>
      </c>
      <c r="I192" s="4">
        <v>75.2</v>
      </c>
      <c r="J192" s="4">
        <f>ROUND(I192*77.85/80.36,2)</f>
        <v>72.85</v>
      </c>
      <c r="K192" s="4">
        <f t="shared" si="9"/>
        <v>68.14</v>
      </c>
      <c r="L192" s="16"/>
    </row>
    <row r="193" spans="1:12" ht="20.25" customHeight="1">
      <c r="A193" s="3">
        <v>191</v>
      </c>
      <c r="B193" s="8">
        <v>180034</v>
      </c>
      <c r="C193" s="9"/>
      <c r="D193" s="9" t="str">
        <f>"2018011713"</f>
        <v>2018011713</v>
      </c>
      <c r="E193" s="9">
        <v>39</v>
      </c>
      <c r="F193" s="9">
        <v>96</v>
      </c>
      <c r="G193" s="9">
        <f>E193*0.3+F193*0.7</f>
        <v>78.89999999999999</v>
      </c>
      <c r="H193" s="9" t="s">
        <v>27</v>
      </c>
      <c r="I193" s="4">
        <v>73.4</v>
      </c>
      <c r="J193" s="4">
        <f>ROUND(I193*77.85/80.36,2)</f>
        <v>71.11</v>
      </c>
      <c r="K193" s="4">
        <f t="shared" si="9"/>
        <v>67.89</v>
      </c>
      <c r="L193" s="16"/>
    </row>
    <row r="194" spans="1:12" ht="20.25" customHeight="1">
      <c r="A194" s="3">
        <v>192</v>
      </c>
      <c r="B194" s="8">
        <v>180034</v>
      </c>
      <c r="C194" s="9"/>
      <c r="D194" s="9" t="str">
        <f>"2018011619"</f>
        <v>2018011619</v>
      </c>
      <c r="E194" s="9">
        <v>31</v>
      </c>
      <c r="F194" s="9">
        <v>99</v>
      </c>
      <c r="G194" s="9">
        <f>E194*0.3+F194*0.7</f>
        <v>78.6</v>
      </c>
      <c r="H194" s="9" t="s">
        <v>28</v>
      </c>
      <c r="I194" s="4">
        <v>68.6</v>
      </c>
      <c r="J194" s="4">
        <f>ROUND(I194*77.85/75.61,2)</f>
        <v>70.63</v>
      </c>
      <c r="K194" s="4">
        <f t="shared" si="9"/>
        <v>67.55</v>
      </c>
      <c r="L194" s="16"/>
    </row>
    <row r="195" spans="1:12" ht="20.25" customHeight="1">
      <c r="A195" s="3">
        <v>193</v>
      </c>
      <c r="B195" s="8">
        <v>180034</v>
      </c>
      <c r="C195" s="11"/>
      <c r="D195" s="11" t="s">
        <v>6</v>
      </c>
      <c r="E195" s="11">
        <v>58</v>
      </c>
      <c r="F195" s="11">
        <v>85</v>
      </c>
      <c r="G195" s="11">
        <v>76.89999999999999</v>
      </c>
      <c r="H195" s="12" t="s">
        <v>26</v>
      </c>
      <c r="I195" s="4">
        <v>73.4</v>
      </c>
      <c r="J195" s="4">
        <f>ROUND(I195*77.85/78.72,2)</f>
        <v>72.59</v>
      </c>
      <c r="K195" s="4">
        <f t="shared" si="9"/>
        <v>67.49</v>
      </c>
      <c r="L195" s="16"/>
    </row>
    <row r="196" spans="1:12" ht="20.25" customHeight="1">
      <c r="A196" s="3">
        <v>194</v>
      </c>
      <c r="B196" s="8">
        <v>180034</v>
      </c>
      <c r="C196" s="9"/>
      <c r="D196" s="9" t="str">
        <f>"2018012205"</f>
        <v>2018012205</v>
      </c>
      <c r="E196" s="9">
        <v>31.5</v>
      </c>
      <c r="F196" s="9">
        <v>100</v>
      </c>
      <c r="G196" s="9">
        <f>E196*0.3+F196*0.7</f>
        <v>79.45</v>
      </c>
      <c r="H196" s="9" t="s">
        <v>28</v>
      </c>
      <c r="I196" s="4">
        <v>67.2</v>
      </c>
      <c r="J196" s="4">
        <f>ROUND(I196*77.85/75.61,2)</f>
        <v>69.19</v>
      </c>
      <c r="K196" s="4">
        <f aca="true" t="shared" si="12" ref="K196:K259">ROUND(G196/1.2*0.6+J196*0.4,2)</f>
        <v>67.4</v>
      </c>
      <c r="L196" s="16"/>
    </row>
    <row r="197" spans="1:12" ht="20.25" customHeight="1">
      <c r="A197" s="3">
        <v>195</v>
      </c>
      <c r="B197" s="8">
        <v>180034</v>
      </c>
      <c r="C197" s="9"/>
      <c r="D197" s="9" t="str">
        <f>"2018011328"</f>
        <v>2018011328</v>
      </c>
      <c r="E197" s="9">
        <v>54.5</v>
      </c>
      <c r="F197" s="9">
        <v>89</v>
      </c>
      <c r="G197" s="9">
        <f>E197*0.3+F197*0.7</f>
        <v>78.64999999999999</v>
      </c>
      <c r="H197" s="9" t="s">
        <v>23</v>
      </c>
      <c r="I197" s="4">
        <v>69.2</v>
      </c>
      <c r="J197" s="4">
        <f>ROUND(I197*77.85/76.94,2)</f>
        <v>70.02</v>
      </c>
      <c r="K197" s="4">
        <f t="shared" si="12"/>
        <v>67.33</v>
      </c>
      <c r="L197" s="16"/>
    </row>
    <row r="198" spans="1:12" ht="20.25" customHeight="1">
      <c r="A198" s="3">
        <v>196</v>
      </c>
      <c r="B198" s="8">
        <v>180034</v>
      </c>
      <c r="C198" s="9"/>
      <c r="D198" s="9" t="str">
        <f>"2018011625"</f>
        <v>2018011625</v>
      </c>
      <c r="E198" s="9">
        <v>32.5</v>
      </c>
      <c r="F198" s="9">
        <v>101</v>
      </c>
      <c r="G198" s="9">
        <f>E198*0.3+F198*0.7</f>
        <v>80.44999999999999</v>
      </c>
      <c r="H198" s="9" t="s">
        <v>28</v>
      </c>
      <c r="I198" s="4">
        <v>63.6</v>
      </c>
      <c r="J198" s="4">
        <f>ROUND(I198*77.85/75.61,2)</f>
        <v>65.48</v>
      </c>
      <c r="K198" s="4">
        <f t="shared" si="12"/>
        <v>66.42</v>
      </c>
      <c r="L198" s="16"/>
    </row>
    <row r="199" spans="1:12" ht="20.25" customHeight="1">
      <c r="A199" s="3">
        <v>197</v>
      </c>
      <c r="B199" s="8">
        <v>180034</v>
      </c>
      <c r="C199" s="11"/>
      <c r="D199" s="11" t="s">
        <v>5</v>
      </c>
      <c r="E199" s="11">
        <v>44</v>
      </c>
      <c r="F199" s="11">
        <v>91</v>
      </c>
      <c r="G199" s="11">
        <v>76.89999999999999</v>
      </c>
      <c r="H199" s="12" t="s">
        <v>27</v>
      </c>
      <c r="I199" s="4">
        <v>71.4</v>
      </c>
      <c r="J199" s="4">
        <f>ROUND(I199*77.85/80.36,2)</f>
        <v>69.17</v>
      </c>
      <c r="K199" s="4">
        <f t="shared" si="12"/>
        <v>66.12</v>
      </c>
      <c r="L199" s="16"/>
    </row>
    <row r="200" spans="1:12" ht="20.25" customHeight="1">
      <c r="A200" s="3">
        <v>198</v>
      </c>
      <c r="B200" s="8">
        <v>180034</v>
      </c>
      <c r="C200" s="11"/>
      <c r="D200" s="11" t="s">
        <v>8</v>
      </c>
      <c r="E200" s="11">
        <v>39</v>
      </c>
      <c r="F200" s="11">
        <v>93</v>
      </c>
      <c r="G200" s="11">
        <v>76.8</v>
      </c>
      <c r="H200" s="12" t="s">
        <v>27</v>
      </c>
      <c r="I200" s="4">
        <v>70.5</v>
      </c>
      <c r="J200" s="4">
        <f>ROUND(I200*77.85/80.36,2)</f>
        <v>68.3</v>
      </c>
      <c r="K200" s="4">
        <f t="shared" si="12"/>
        <v>65.72</v>
      </c>
      <c r="L200" s="16"/>
    </row>
    <row r="201" spans="1:12" ht="20.25" customHeight="1">
      <c r="A201" s="3">
        <v>199</v>
      </c>
      <c r="B201" s="8">
        <v>180034</v>
      </c>
      <c r="C201" s="9"/>
      <c r="D201" s="9" t="str">
        <f>"2018010924"</f>
        <v>2018010924</v>
      </c>
      <c r="E201" s="9">
        <v>49</v>
      </c>
      <c r="F201" s="9">
        <v>93</v>
      </c>
      <c r="G201" s="9">
        <f>E201*0.3+F201*0.7</f>
        <v>79.8</v>
      </c>
      <c r="H201" s="9" t="s">
        <v>28</v>
      </c>
      <c r="I201" s="4">
        <v>62</v>
      </c>
      <c r="J201" s="4">
        <f>ROUND(I201*77.85/75.61,2)</f>
        <v>63.84</v>
      </c>
      <c r="K201" s="4">
        <f t="shared" si="12"/>
        <v>65.44</v>
      </c>
      <c r="L201" s="16"/>
    </row>
    <row r="202" spans="1:12" ht="20.25" customHeight="1">
      <c r="A202" s="3">
        <v>200</v>
      </c>
      <c r="B202" s="8">
        <v>180034</v>
      </c>
      <c r="C202" s="9"/>
      <c r="D202" s="9" t="str">
        <f>"2018011817"</f>
        <v>2018011817</v>
      </c>
      <c r="E202" s="9">
        <v>36.5</v>
      </c>
      <c r="F202" s="9">
        <v>97</v>
      </c>
      <c r="G202" s="9">
        <f>E202*0.3+F202*0.7</f>
        <v>78.85</v>
      </c>
      <c r="H202" s="9" t="s">
        <v>23</v>
      </c>
      <c r="I202" s="4">
        <v>64</v>
      </c>
      <c r="J202" s="4">
        <f>ROUND(I202*77.85/76.94,2)</f>
        <v>64.76</v>
      </c>
      <c r="K202" s="4">
        <f t="shared" si="12"/>
        <v>65.33</v>
      </c>
      <c r="L202" s="16"/>
    </row>
    <row r="203" spans="1:12" ht="20.25" customHeight="1">
      <c r="A203" s="3">
        <v>201</v>
      </c>
      <c r="B203" s="8">
        <v>180034</v>
      </c>
      <c r="C203" s="11"/>
      <c r="D203" s="11" t="s">
        <v>2</v>
      </c>
      <c r="E203" s="11">
        <v>42</v>
      </c>
      <c r="F203" s="11">
        <v>92</v>
      </c>
      <c r="G203" s="11">
        <v>76.99999999999999</v>
      </c>
      <c r="H203" s="12" t="s">
        <v>28</v>
      </c>
      <c r="I203" s="4">
        <v>64.4</v>
      </c>
      <c r="J203" s="4">
        <f>ROUND(I203*77.85/75.61,2)</f>
        <v>66.31</v>
      </c>
      <c r="K203" s="4">
        <f t="shared" si="12"/>
        <v>65.02</v>
      </c>
      <c r="L203" s="16"/>
    </row>
    <row r="204" spans="1:12" ht="20.25" customHeight="1">
      <c r="A204" s="3">
        <v>202</v>
      </c>
      <c r="B204" s="8">
        <v>180034</v>
      </c>
      <c r="C204" s="9"/>
      <c r="D204" s="9" t="str">
        <f>"2018011919"</f>
        <v>2018011919</v>
      </c>
      <c r="E204" s="9">
        <v>28</v>
      </c>
      <c r="F204" s="9">
        <v>99</v>
      </c>
      <c r="G204" s="9">
        <f aca="true" t="shared" si="13" ref="G204:G219">E204*0.3+F204*0.7</f>
        <v>77.7</v>
      </c>
      <c r="H204" s="9" t="s">
        <v>23</v>
      </c>
      <c r="I204" s="4">
        <v>64.2</v>
      </c>
      <c r="J204" s="4">
        <f>ROUND(I204*77.85/76.94,2)</f>
        <v>64.96</v>
      </c>
      <c r="K204" s="4">
        <f t="shared" si="12"/>
        <v>64.83</v>
      </c>
      <c r="L204" s="16"/>
    </row>
    <row r="205" spans="1:12" ht="20.25" customHeight="1">
      <c r="A205" s="3">
        <v>203</v>
      </c>
      <c r="B205" s="8">
        <v>180034</v>
      </c>
      <c r="C205" s="9"/>
      <c r="D205" s="9" t="str">
        <f>"2018010905"</f>
        <v>2018010905</v>
      </c>
      <c r="E205" s="9">
        <v>47.5</v>
      </c>
      <c r="F205" s="9">
        <v>90</v>
      </c>
      <c r="G205" s="9">
        <f t="shared" si="13"/>
        <v>77.25</v>
      </c>
      <c r="H205" s="9" t="s">
        <v>28</v>
      </c>
      <c r="I205" s="4">
        <v>60.4</v>
      </c>
      <c r="J205" s="4">
        <f>ROUND(I205*77.85/75.61,2)</f>
        <v>62.19</v>
      </c>
      <c r="K205" s="4">
        <f t="shared" si="12"/>
        <v>63.5</v>
      </c>
      <c r="L205" s="16"/>
    </row>
    <row r="206" spans="1:12" ht="20.25" customHeight="1">
      <c r="A206" s="3">
        <v>204</v>
      </c>
      <c r="B206" s="8">
        <v>180034</v>
      </c>
      <c r="C206" s="9"/>
      <c r="D206" s="9" t="str">
        <f>"2018011607"</f>
        <v>2018011607</v>
      </c>
      <c r="E206" s="9">
        <v>62.5</v>
      </c>
      <c r="F206" s="9">
        <v>108</v>
      </c>
      <c r="G206" s="9">
        <f t="shared" si="13"/>
        <v>94.35</v>
      </c>
      <c r="H206" s="9"/>
      <c r="I206" s="4">
        <v>0</v>
      </c>
      <c r="J206" s="4">
        <v>0</v>
      </c>
      <c r="K206" s="4">
        <f t="shared" si="12"/>
        <v>47.18</v>
      </c>
      <c r="L206" s="16"/>
    </row>
    <row r="207" spans="1:12" ht="20.25" customHeight="1">
      <c r="A207" s="3">
        <v>205</v>
      </c>
      <c r="B207" s="8">
        <v>180034</v>
      </c>
      <c r="C207" s="9"/>
      <c r="D207" s="9" t="str">
        <f>"2018010928"</f>
        <v>2018010928</v>
      </c>
      <c r="E207" s="9">
        <v>52.5</v>
      </c>
      <c r="F207" s="9">
        <v>101</v>
      </c>
      <c r="G207" s="9">
        <f t="shared" si="13"/>
        <v>86.44999999999999</v>
      </c>
      <c r="H207" s="9"/>
      <c r="I207" s="4">
        <v>0</v>
      </c>
      <c r="J207" s="4">
        <v>0</v>
      </c>
      <c r="K207" s="4">
        <f t="shared" si="12"/>
        <v>43.23</v>
      </c>
      <c r="L207" s="16"/>
    </row>
    <row r="208" spans="1:12" ht="20.25" customHeight="1">
      <c r="A208" s="3">
        <v>206</v>
      </c>
      <c r="B208" s="8">
        <v>180034</v>
      </c>
      <c r="C208" s="9"/>
      <c r="D208" s="9" t="str">
        <f>"2018011815"</f>
        <v>2018011815</v>
      </c>
      <c r="E208" s="9">
        <v>47.5</v>
      </c>
      <c r="F208" s="9">
        <v>99</v>
      </c>
      <c r="G208" s="9">
        <f t="shared" si="13"/>
        <v>83.55</v>
      </c>
      <c r="H208" s="9"/>
      <c r="I208" s="4">
        <v>0</v>
      </c>
      <c r="J208" s="4">
        <v>0</v>
      </c>
      <c r="K208" s="4">
        <f t="shared" si="12"/>
        <v>41.78</v>
      </c>
      <c r="L208" s="16"/>
    </row>
    <row r="209" spans="1:12" ht="20.25" customHeight="1">
      <c r="A209" s="3">
        <v>207</v>
      </c>
      <c r="B209" s="8">
        <v>180034</v>
      </c>
      <c r="C209" s="9"/>
      <c r="D209" s="9" t="str">
        <f>"2018012122"</f>
        <v>2018012122</v>
      </c>
      <c r="E209" s="9">
        <v>39.5</v>
      </c>
      <c r="F209" s="9">
        <v>102</v>
      </c>
      <c r="G209" s="9">
        <f t="shared" si="13"/>
        <v>83.24999999999999</v>
      </c>
      <c r="H209" s="9"/>
      <c r="I209" s="4">
        <v>0</v>
      </c>
      <c r="J209" s="4">
        <v>0</v>
      </c>
      <c r="K209" s="4">
        <f t="shared" si="12"/>
        <v>41.63</v>
      </c>
      <c r="L209" s="16"/>
    </row>
    <row r="210" spans="1:12" ht="20.25" customHeight="1">
      <c r="A210" s="3">
        <v>208</v>
      </c>
      <c r="B210" s="8">
        <v>180034</v>
      </c>
      <c r="C210" s="9"/>
      <c r="D210" s="9" t="str">
        <f>"2018011828"</f>
        <v>2018011828</v>
      </c>
      <c r="E210" s="9">
        <v>47.5</v>
      </c>
      <c r="F210" s="9">
        <v>95</v>
      </c>
      <c r="G210" s="9">
        <f t="shared" si="13"/>
        <v>80.75</v>
      </c>
      <c r="H210" s="9"/>
      <c r="I210" s="4">
        <v>0</v>
      </c>
      <c r="J210" s="4">
        <f>ROUND(I210*77.85/76.94,2)</f>
        <v>0</v>
      </c>
      <c r="K210" s="4">
        <f t="shared" si="12"/>
        <v>40.38</v>
      </c>
      <c r="L210" s="16"/>
    </row>
    <row r="211" spans="1:12" ht="20.25" customHeight="1">
      <c r="A211" s="3">
        <v>209</v>
      </c>
      <c r="B211" s="8">
        <v>180034</v>
      </c>
      <c r="C211" s="9"/>
      <c r="D211" s="9" t="str">
        <f>"2018011703"</f>
        <v>2018011703</v>
      </c>
      <c r="E211" s="9">
        <v>34.5</v>
      </c>
      <c r="F211" s="9">
        <v>100</v>
      </c>
      <c r="G211" s="9">
        <f t="shared" si="13"/>
        <v>80.35</v>
      </c>
      <c r="H211" s="9"/>
      <c r="I211" s="4">
        <v>0</v>
      </c>
      <c r="J211" s="4">
        <v>0</v>
      </c>
      <c r="K211" s="4">
        <f t="shared" si="12"/>
        <v>40.18</v>
      </c>
      <c r="L211" s="16"/>
    </row>
    <row r="212" spans="1:12" ht="20.25" customHeight="1">
      <c r="A212" s="3">
        <v>210</v>
      </c>
      <c r="B212" s="8">
        <v>180034</v>
      </c>
      <c r="C212" s="9"/>
      <c r="D212" s="9" t="str">
        <f>"2018011114"</f>
        <v>2018011114</v>
      </c>
      <c r="E212" s="9">
        <v>42.5</v>
      </c>
      <c r="F212" s="9">
        <v>96</v>
      </c>
      <c r="G212" s="9">
        <f t="shared" si="13"/>
        <v>79.94999999999999</v>
      </c>
      <c r="H212" s="9"/>
      <c r="I212" s="4">
        <v>0</v>
      </c>
      <c r="J212" s="4">
        <v>0</v>
      </c>
      <c r="K212" s="4">
        <f t="shared" si="12"/>
        <v>39.98</v>
      </c>
      <c r="L212" s="16"/>
    </row>
    <row r="213" spans="1:12" ht="20.25" customHeight="1">
      <c r="A213" s="3">
        <v>211</v>
      </c>
      <c r="B213" s="8">
        <v>180034</v>
      </c>
      <c r="C213" s="9"/>
      <c r="D213" s="9" t="str">
        <f>"2018011805"</f>
        <v>2018011805</v>
      </c>
      <c r="E213" s="9">
        <v>42</v>
      </c>
      <c r="F213" s="9">
        <v>95</v>
      </c>
      <c r="G213" s="9">
        <f t="shared" si="13"/>
        <v>79.1</v>
      </c>
      <c r="H213" s="9"/>
      <c r="I213" s="4">
        <v>0</v>
      </c>
      <c r="J213" s="4">
        <v>0</v>
      </c>
      <c r="K213" s="4">
        <f t="shared" si="12"/>
        <v>39.55</v>
      </c>
      <c r="L213" s="16"/>
    </row>
    <row r="214" spans="1:12" ht="20.25" customHeight="1">
      <c r="A214" s="3">
        <v>212</v>
      </c>
      <c r="B214" s="8">
        <v>180034</v>
      </c>
      <c r="C214" s="9"/>
      <c r="D214" s="9" t="str">
        <f>"2018011611"</f>
        <v>2018011611</v>
      </c>
      <c r="E214" s="9">
        <v>38.5</v>
      </c>
      <c r="F214" s="9">
        <v>96</v>
      </c>
      <c r="G214" s="9">
        <f t="shared" si="13"/>
        <v>78.74999999999999</v>
      </c>
      <c r="H214" s="9"/>
      <c r="I214" s="4">
        <v>0</v>
      </c>
      <c r="J214" s="4">
        <f>ROUND(I214*77.85/76.94,2)</f>
        <v>0</v>
      </c>
      <c r="K214" s="4">
        <f t="shared" si="12"/>
        <v>39.38</v>
      </c>
      <c r="L214" s="16"/>
    </row>
    <row r="215" spans="1:12" ht="20.25" customHeight="1">
      <c r="A215" s="3">
        <v>213</v>
      </c>
      <c r="B215" s="8">
        <v>180034</v>
      </c>
      <c r="C215" s="9"/>
      <c r="D215" s="9" t="str">
        <f>"2018012006"</f>
        <v>2018012006</v>
      </c>
      <c r="E215" s="9">
        <v>51.5</v>
      </c>
      <c r="F215" s="9">
        <v>90</v>
      </c>
      <c r="G215" s="9">
        <f t="shared" si="13"/>
        <v>78.44999999999999</v>
      </c>
      <c r="H215" s="9"/>
      <c r="I215" s="4">
        <v>0</v>
      </c>
      <c r="J215" s="4">
        <v>0</v>
      </c>
      <c r="K215" s="4">
        <f t="shared" si="12"/>
        <v>39.23</v>
      </c>
      <c r="L215" s="16"/>
    </row>
    <row r="216" spans="1:12" ht="20.25" customHeight="1">
      <c r="A216" s="3">
        <v>214</v>
      </c>
      <c r="B216" s="8">
        <v>180034</v>
      </c>
      <c r="C216" s="9"/>
      <c r="D216" s="9" t="str">
        <f>"2018012111"</f>
        <v>2018012111</v>
      </c>
      <c r="E216" s="9">
        <v>34</v>
      </c>
      <c r="F216" s="9">
        <v>97</v>
      </c>
      <c r="G216" s="9">
        <f t="shared" si="13"/>
        <v>78.1</v>
      </c>
      <c r="H216" s="9"/>
      <c r="I216" s="4">
        <v>0</v>
      </c>
      <c r="J216" s="4">
        <v>0</v>
      </c>
      <c r="K216" s="4">
        <f t="shared" si="12"/>
        <v>39.05</v>
      </c>
      <c r="L216" s="16"/>
    </row>
    <row r="217" spans="1:12" ht="20.25" customHeight="1">
      <c r="A217" s="3">
        <v>215</v>
      </c>
      <c r="B217" s="8">
        <v>180034</v>
      </c>
      <c r="C217" s="9"/>
      <c r="D217" s="9" t="str">
        <f>"2018011901"</f>
        <v>2018011901</v>
      </c>
      <c r="E217" s="9">
        <v>44.5</v>
      </c>
      <c r="F217" s="9">
        <v>92</v>
      </c>
      <c r="G217" s="9">
        <f t="shared" si="13"/>
        <v>77.74999999999999</v>
      </c>
      <c r="H217" s="9"/>
      <c r="I217" s="4">
        <v>0</v>
      </c>
      <c r="J217" s="4">
        <v>0</v>
      </c>
      <c r="K217" s="4">
        <f t="shared" si="12"/>
        <v>38.88</v>
      </c>
      <c r="L217" s="16"/>
    </row>
    <row r="218" spans="1:12" ht="20.25" customHeight="1">
      <c r="A218" s="3">
        <v>216</v>
      </c>
      <c r="B218" s="8">
        <v>180034</v>
      </c>
      <c r="C218" s="9"/>
      <c r="D218" s="9" t="str">
        <f>"2018010908"</f>
        <v>2018010908</v>
      </c>
      <c r="E218" s="9">
        <v>40.5</v>
      </c>
      <c r="F218" s="9">
        <v>93</v>
      </c>
      <c r="G218" s="9">
        <f t="shared" si="13"/>
        <v>77.25</v>
      </c>
      <c r="H218" s="9"/>
      <c r="I218" s="4">
        <v>0</v>
      </c>
      <c r="J218" s="4">
        <v>0</v>
      </c>
      <c r="K218" s="4">
        <f t="shared" si="12"/>
        <v>38.63</v>
      </c>
      <c r="L218" s="16"/>
    </row>
    <row r="219" spans="1:12" ht="20.25" customHeight="1">
      <c r="A219" s="3">
        <v>217</v>
      </c>
      <c r="B219" s="8">
        <v>180034</v>
      </c>
      <c r="C219" s="9"/>
      <c r="D219" s="9" t="str">
        <f>"2018011729"</f>
        <v>2018011729</v>
      </c>
      <c r="E219" s="9">
        <v>38</v>
      </c>
      <c r="F219" s="9">
        <v>94</v>
      </c>
      <c r="G219" s="9">
        <f t="shared" si="13"/>
        <v>77.2</v>
      </c>
      <c r="H219" s="9"/>
      <c r="I219" s="4">
        <v>0</v>
      </c>
      <c r="J219" s="4">
        <v>0</v>
      </c>
      <c r="K219" s="4">
        <f t="shared" si="12"/>
        <v>38.6</v>
      </c>
      <c r="L219" s="16"/>
    </row>
    <row r="220" spans="1:12" ht="20.25" customHeight="1">
      <c r="A220" s="3">
        <v>218</v>
      </c>
      <c r="B220" s="8">
        <v>180034</v>
      </c>
      <c r="C220" s="11"/>
      <c r="D220" s="11" t="s">
        <v>3</v>
      </c>
      <c r="E220" s="11">
        <v>39.5</v>
      </c>
      <c r="F220" s="11">
        <v>93</v>
      </c>
      <c r="G220" s="11">
        <v>76.94999999999999</v>
      </c>
      <c r="H220" s="12"/>
      <c r="I220" s="4">
        <v>0</v>
      </c>
      <c r="J220" s="4">
        <v>0</v>
      </c>
      <c r="K220" s="4">
        <f t="shared" si="12"/>
        <v>38.48</v>
      </c>
      <c r="L220" s="16"/>
    </row>
    <row r="221" spans="1:12" ht="20.25" customHeight="1">
      <c r="A221" s="3">
        <v>219</v>
      </c>
      <c r="B221" s="8">
        <v>180034</v>
      </c>
      <c r="C221" s="11"/>
      <c r="D221" s="11" t="s">
        <v>7</v>
      </c>
      <c r="E221" s="11">
        <v>53</v>
      </c>
      <c r="F221" s="11">
        <v>87</v>
      </c>
      <c r="G221" s="11">
        <v>76.8</v>
      </c>
      <c r="H221" s="12"/>
      <c r="I221" s="4">
        <v>0</v>
      </c>
      <c r="J221" s="4">
        <v>0</v>
      </c>
      <c r="K221" s="4">
        <f t="shared" si="12"/>
        <v>38.4</v>
      </c>
      <c r="L221" s="17"/>
    </row>
    <row r="222" spans="1:12" ht="20.25" customHeight="1">
      <c r="A222" s="3">
        <v>220</v>
      </c>
      <c r="B222" s="8">
        <v>180035</v>
      </c>
      <c r="C222" s="9"/>
      <c r="D222" s="9" t="str">
        <f>"2018012310"</f>
        <v>2018012310</v>
      </c>
      <c r="E222" s="9">
        <v>61.5</v>
      </c>
      <c r="F222" s="9">
        <v>97</v>
      </c>
      <c r="G222" s="9">
        <f aca="true" t="shared" si="14" ref="G222:G269">E222*0.3+F222*0.7</f>
        <v>86.35</v>
      </c>
      <c r="H222" s="9"/>
      <c r="I222" s="4">
        <v>69.4</v>
      </c>
      <c r="J222" s="4">
        <f aca="true" t="shared" si="15" ref="J222:J243">I222</f>
        <v>69.4</v>
      </c>
      <c r="K222" s="4">
        <f t="shared" si="12"/>
        <v>70.94</v>
      </c>
      <c r="L222" s="4"/>
    </row>
    <row r="223" spans="1:12" ht="20.25" customHeight="1">
      <c r="A223" s="3">
        <v>221</v>
      </c>
      <c r="B223" s="8">
        <v>180035</v>
      </c>
      <c r="C223" s="9"/>
      <c r="D223" s="9" t="str">
        <f>"2018012225"</f>
        <v>2018012225</v>
      </c>
      <c r="E223" s="9">
        <v>42</v>
      </c>
      <c r="F223" s="9">
        <v>100</v>
      </c>
      <c r="G223" s="9">
        <f t="shared" si="14"/>
        <v>82.6</v>
      </c>
      <c r="H223" s="9"/>
      <c r="I223" s="4">
        <v>72.8</v>
      </c>
      <c r="J223" s="4">
        <f t="shared" si="15"/>
        <v>72.8</v>
      </c>
      <c r="K223" s="4">
        <f t="shared" si="12"/>
        <v>70.42</v>
      </c>
      <c r="L223" s="4"/>
    </row>
    <row r="224" spans="1:12" ht="20.25" customHeight="1">
      <c r="A224" s="3">
        <v>222</v>
      </c>
      <c r="B224" s="8">
        <v>180035</v>
      </c>
      <c r="C224" s="9"/>
      <c r="D224" s="9" t="str">
        <f>"2018012215"</f>
        <v>2018012215</v>
      </c>
      <c r="E224" s="9">
        <v>50</v>
      </c>
      <c r="F224" s="9">
        <v>92</v>
      </c>
      <c r="G224" s="9">
        <f t="shared" si="14"/>
        <v>79.39999999999999</v>
      </c>
      <c r="H224" s="9"/>
      <c r="I224" s="4">
        <v>75</v>
      </c>
      <c r="J224" s="4">
        <f t="shared" si="15"/>
        <v>75</v>
      </c>
      <c r="K224" s="4">
        <f t="shared" si="12"/>
        <v>69.7</v>
      </c>
      <c r="L224" s="4"/>
    </row>
    <row r="225" spans="1:12" ht="20.25" customHeight="1">
      <c r="A225" s="3">
        <v>223</v>
      </c>
      <c r="B225" s="8">
        <v>180035</v>
      </c>
      <c r="C225" s="9"/>
      <c r="D225" s="9" t="str">
        <f>"2018012305"</f>
        <v>2018012305</v>
      </c>
      <c r="E225" s="9">
        <v>50</v>
      </c>
      <c r="F225" s="9">
        <v>93</v>
      </c>
      <c r="G225" s="9">
        <f t="shared" si="14"/>
        <v>80.1</v>
      </c>
      <c r="H225" s="9"/>
      <c r="I225" s="4">
        <v>73.8</v>
      </c>
      <c r="J225" s="4">
        <f t="shared" si="15"/>
        <v>73.8</v>
      </c>
      <c r="K225" s="4">
        <f t="shared" si="12"/>
        <v>69.57</v>
      </c>
      <c r="L225" s="4"/>
    </row>
    <row r="226" spans="1:12" ht="20.25" customHeight="1">
      <c r="A226" s="3">
        <v>224</v>
      </c>
      <c r="B226" s="8">
        <v>180035</v>
      </c>
      <c r="C226" s="9"/>
      <c r="D226" s="9" t="str">
        <f>"2018012306"</f>
        <v>2018012306</v>
      </c>
      <c r="E226" s="9">
        <v>45.5</v>
      </c>
      <c r="F226" s="9">
        <v>101</v>
      </c>
      <c r="G226" s="9">
        <f t="shared" si="14"/>
        <v>84.35</v>
      </c>
      <c r="H226" s="9"/>
      <c r="I226" s="4">
        <v>67</v>
      </c>
      <c r="J226" s="4">
        <f t="shared" si="15"/>
        <v>67</v>
      </c>
      <c r="K226" s="4">
        <f t="shared" si="12"/>
        <v>68.98</v>
      </c>
      <c r="L226" s="4"/>
    </row>
    <row r="227" spans="1:12" ht="20.25" customHeight="1">
      <c r="A227" s="3">
        <v>225</v>
      </c>
      <c r="B227" s="8">
        <v>180035</v>
      </c>
      <c r="C227" s="9"/>
      <c r="D227" s="9" t="str">
        <f>"2018012217"</f>
        <v>2018012217</v>
      </c>
      <c r="E227" s="9">
        <v>46.5</v>
      </c>
      <c r="F227" s="9">
        <v>85</v>
      </c>
      <c r="G227" s="9">
        <f t="shared" si="14"/>
        <v>73.44999999999999</v>
      </c>
      <c r="H227" s="9"/>
      <c r="I227" s="4">
        <v>79.8</v>
      </c>
      <c r="J227" s="4">
        <f t="shared" si="15"/>
        <v>79.8</v>
      </c>
      <c r="K227" s="4">
        <f t="shared" si="12"/>
        <v>68.65</v>
      </c>
      <c r="L227" s="4"/>
    </row>
    <row r="228" spans="1:12" ht="20.25" customHeight="1">
      <c r="A228" s="3">
        <v>226</v>
      </c>
      <c r="B228" s="8">
        <v>180035</v>
      </c>
      <c r="C228" s="9"/>
      <c r="D228" s="9" t="str">
        <f>"2018012220"</f>
        <v>2018012220</v>
      </c>
      <c r="E228" s="9">
        <v>51</v>
      </c>
      <c r="F228" s="9">
        <v>86</v>
      </c>
      <c r="G228" s="9">
        <f t="shared" si="14"/>
        <v>75.5</v>
      </c>
      <c r="H228" s="9"/>
      <c r="I228" s="4">
        <v>76.6</v>
      </c>
      <c r="J228" s="4">
        <f t="shared" si="15"/>
        <v>76.6</v>
      </c>
      <c r="K228" s="4">
        <f t="shared" si="12"/>
        <v>68.39</v>
      </c>
      <c r="L228" s="4"/>
    </row>
    <row r="229" spans="1:12" ht="20.25" customHeight="1">
      <c r="A229" s="3">
        <v>227</v>
      </c>
      <c r="B229" s="8">
        <v>180035</v>
      </c>
      <c r="C229" s="9"/>
      <c r="D229" s="9" t="str">
        <f>"2018012229"</f>
        <v>2018012229</v>
      </c>
      <c r="E229" s="9">
        <v>44</v>
      </c>
      <c r="F229" s="9">
        <v>88</v>
      </c>
      <c r="G229" s="9">
        <f t="shared" si="14"/>
        <v>74.8</v>
      </c>
      <c r="H229" s="9"/>
      <c r="I229" s="4">
        <v>73.8</v>
      </c>
      <c r="J229" s="4">
        <f t="shared" si="15"/>
        <v>73.8</v>
      </c>
      <c r="K229" s="4">
        <f t="shared" si="12"/>
        <v>66.92</v>
      </c>
      <c r="L229" s="4"/>
    </row>
    <row r="230" spans="1:12" ht="20.25" customHeight="1">
      <c r="A230" s="3">
        <v>228</v>
      </c>
      <c r="B230" s="8">
        <v>180035</v>
      </c>
      <c r="C230" s="9"/>
      <c r="D230" s="9" t="str">
        <f>"2018012319"</f>
        <v>2018012319</v>
      </c>
      <c r="E230" s="9">
        <v>40.5</v>
      </c>
      <c r="F230" s="9">
        <v>87</v>
      </c>
      <c r="G230" s="9">
        <f t="shared" si="14"/>
        <v>73.05</v>
      </c>
      <c r="H230" s="9"/>
      <c r="I230" s="4">
        <v>74.6</v>
      </c>
      <c r="J230" s="4">
        <f t="shared" si="15"/>
        <v>74.6</v>
      </c>
      <c r="K230" s="4">
        <f t="shared" si="12"/>
        <v>66.37</v>
      </c>
      <c r="L230" s="4"/>
    </row>
    <row r="231" spans="1:12" ht="20.25" customHeight="1">
      <c r="A231" s="3">
        <v>229</v>
      </c>
      <c r="B231" s="8">
        <v>180035</v>
      </c>
      <c r="C231" s="9"/>
      <c r="D231" s="9" t="str">
        <f>"2018012308"</f>
        <v>2018012308</v>
      </c>
      <c r="E231" s="9">
        <v>39.5</v>
      </c>
      <c r="F231" s="9">
        <v>88</v>
      </c>
      <c r="G231" s="9">
        <f t="shared" si="14"/>
        <v>73.44999999999999</v>
      </c>
      <c r="H231" s="9"/>
      <c r="I231" s="4">
        <v>74</v>
      </c>
      <c r="J231" s="4">
        <f t="shared" si="15"/>
        <v>74</v>
      </c>
      <c r="K231" s="4">
        <f t="shared" si="12"/>
        <v>66.33</v>
      </c>
      <c r="L231" s="4"/>
    </row>
    <row r="232" spans="1:12" ht="20.25" customHeight="1">
      <c r="A232" s="3">
        <v>230</v>
      </c>
      <c r="B232" s="8">
        <v>180035</v>
      </c>
      <c r="C232" s="9"/>
      <c r="D232" s="9" t="str">
        <f>"2018012326"</f>
        <v>2018012326</v>
      </c>
      <c r="E232" s="9">
        <v>45</v>
      </c>
      <c r="F232" s="9">
        <v>86</v>
      </c>
      <c r="G232" s="9">
        <f t="shared" si="14"/>
        <v>73.69999999999999</v>
      </c>
      <c r="H232" s="9"/>
      <c r="I232" s="4">
        <v>72.8</v>
      </c>
      <c r="J232" s="4">
        <f t="shared" si="15"/>
        <v>72.8</v>
      </c>
      <c r="K232" s="4">
        <f t="shared" si="12"/>
        <v>65.97</v>
      </c>
      <c r="L232" s="4"/>
    </row>
    <row r="233" spans="1:12" ht="20.25" customHeight="1">
      <c r="A233" s="3">
        <v>231</v>
      </c>
      <c r="B233" s="8">
        <v>180035</v>
      </c>
      <c r="C233" s="9"/>
      <c r="D233" s="9" t="str">
        <f>"2018012214"</f>
        <v>2018012214</v>
      </c>
      <c r="E233" s="9">
        <v>42</v>
      </c>
      <c r="F233" s="9">
        <v>84</v>
      </c>
      <c r="G233" s="9">
        <f t="shared" si="14"/>
        <v>71.39999999999999</v>
      </c>
      <c r="H233" s="9"/>
      <c r="I233" s="4">
        <v>75.4</v>
      </c>
      <c r="J233" s="4">
        <f t="shared" si="15"/>
        <v>75.4</v>
      </c>
      <c r="K233" s="4">
        <f t="shared" si="12"/>
        <v>65.86</v>
      </c>
      <c r="L233" s="4"/>
    </row>
    <row r="234" spans="1:12" ht="20.25" customHeight="1">
      <c r="A234" s="3">
        <v>232</v>
      </c>
      <c r="B234" s="8">
        <v>180035</v>
      </c>
      <c r="C234" s="9"/>
      <c r="D234" s="9" t="str">
        <f>"2018012219"</f>
        <v>2018012219</v>
      </c>
      <c r="E234" s="9">
        <v>47</v>
      </c>
      <c r="F234" s="9">
        <v>80</v>
      </c>
      <c r="G234" s="9">
        <f t="shared" si="14"/>
        <v>70.1</v>
      </c>
      <c r="H234" s="9"/>
      <c r="I234" s="4">
        <v>76.6</v>
      </c>
      <c r="J234" s="4">
        <f t="shared" si="15"/>
        <v>76.6</v>
      </c>
      <c r="K234" s="4">
        <f t="shared" si="12"/>
        <v>65.69</v>
      </c>
      <c r="L234" s="4"/>
    </row>
    <row r="235" spans="1:12" ht="20.25" customHeight="1">
      <c r="A235" s="3">
        <v>233</v>
      </c>
      <c r="B235" s="8">
        <v>180035</v>
      </c>
      <c r="C235" s="9"/>
      <c r="D235" s="9" t="str">
        <f>"2018012327"</f>
        <v>2018012327</v>
      </c>
      <c r="E235" s="9">
        <v>46.5</v>
      </c>
      <c r="F235" s="9">
        <v>84</v>
      </c>
      <c r="G235" s="9">
        <f t="shared" si="14"/>
        <v>72.75</v>
      </c>
      <c r="H235" s="9"/>
      <c r="I235" s="4">
        <v>73.2</v>
      </c>
      <c r="J235" s="4">
        <f t="shared" si="15"/>
        <v>73.2</v>
      </c>
      <c r="K235" s="4">
        <f t="shared" si="12"/>
        <v>65.66</v>
      </c>
      <c r="L235" s="4"/>
    </row>
    <row r="236" spans="1:12" ht="20.25" customHeight="1">
      <c r="A236" s="3">
        <v>234</v>
      </c>
      <c r="B236" s="8">
        <v>180035</v>
      </c>
      <c r="C236" s="9"/>
      <c r="D236" s="9" t="str">
        <f>"2018012227"</f>
        <v>2018012227</v>
      </c>
      <c r="E236" s="9">
        <v>58</v>
      </c>
      <c r="F236" s="9">
        <v>83</v>
      </c>
      <c r="G236" s="9">
        <f t="shared" si="14"/>
        <v>75.5</v>
      </c>
      <c r="H236" s="9"/>
      <c r="I236" s="4">
        <v>69.4</v>
      </c>
      <c r="J236" s="4">
        <f t="shared" si="15"/>
        <v>69.4</v>
      </c>
      <c r="K236" s="4">
        <f t="shared" si="12"/>
        <v>65.51</v>
      </c>
      <c r="L236" s="4"/>
    </row>
    <row r="237" spans="1:12" ht="20.25" customHeight="1">
      <c r="A237" s="3">
        <v>235</v>
      </c>
      <c r="B237" s="8">
        <v>180035</v>
      </c>
      <c r="C237" s="9"/>
      <c r="D237" s="9" t="str">
        <f>"2018012309"</f>
        <v>2018012309</v>
      </c>
      <c r="E237" s="9">
        <v>43</v>
      </c>
      <c r="F237" s="9">
        <v>83</v>
      </c>
      <c r="G237" s="9">
        <f t="shared" si="14"/>
        <v>71</v>
      </c>
      <c r="H237" s="9"/>
      <c r="I237" s="4">
        <v>72.4</v>
      </c>
      <c r="J237" s="4">
        <f t="shared" si="15"/>
        <v>72.4</v>
      </c>
      <c r="K237" s="4">
        <f t="shared" si="12"/>
        <v>64.46</v>
      </c>
      <c r="L237" s="4"/>
    </row>
    <row r="238" spans="1:12" ht="20.25" customHeight="1">
      <c r="A238" s="3">
        <v>236</v>
      </c>
      <c r="B238" s="8">
        <v>180035</v>
      </c>
      <c r="C238" s="9"/>
      <c r="D238" s="9" t="str">
        <f>"2018012222"</f>
        <v>2018012222</v>
      </c>
      <c r="E238" s="9">
        <v>40</v>
      </c>
      <c r="F238" s="9">
        <v>69</v>
      </c>
      <c r="G238" s="9">
        <f t="shared" si="14"/>
        <v>60.3</v>
      </c>
      <c r="H238" s="9"/>
      <c r="I238" s="4">
        <v>83.2</v>
      </c>
      <c r="J238" s="4">
        <f t="shared" si="15"/>
        <v>83.2</v>
      </c>
      <c r="K238" s="4">
        <f t="shared" si="12"/>
        <v>63.43</v>
      </c>
      <c r="L238" s="4"/>
    </row>
    <row r="239" spans="1:12" ht="20.25" customHeight="1">
      <c r="A239" s="3">
        <v>237</v>
      </c>
      <c r="B239" s="8">
        <v>180035</v>
      </c>
      <c r="C239" s="9"/>
      <c r="D239" s="9" t="str">
        <f>"2018012324"</f>
        <v>2018012324</v>
      </c>
      <c r="E239" s="9">
        <v>49.5</v>
      </c>
      <c r="F239" s="9">
        <v>73</v>
      </c>
      <c r="G239" s="9">
        <f t="shared" si="14"/>
        <v>65.94999999999999</v>
      </c>
      <c r="H239" s="9"/>
      <c r="I239" s="4">
        <v>75</v>
      </c>
      <c r="J239" s="4">
        <f t="shared" si="15"/>
        <v>75</v>
      </c>
      <c r="K239" s="4">
        <f t="shared" si="12"/>
        <v>62.98</v>
      </c>
      <c r="L239" s="4"/>
    </row>
    <row r="240" spans="1:12" ht="20.25" customHeight="1">
      <c r="A240" s="3">
        <v>238</v>
      </c>
      <c r="B240" s="8">
        <v>180035</v>
      </c>
      <c r="C240" s="9"/>
      <c r="D240" s="9" t="str">
        <f>"2018012314"</f>
        <v>2018012314</v>
      </c>
      <c r="E240" s="9">
        <v>50</v>
      </c>
      <c r="F240" s="9">
        <v>80</v>
      </c>
      <c r="G240" s="9">
        <f t="shared" si="14"/>
        <v>71</v>
      </c>
      <c r="H240" s="9"/>
      <c r="I240" s="4">
        <v>68.6</v>
      </c>
      <c r="J240" s="4">
        <f t="shared" si="15"/>
        <v>68.6</v>
      </c>
      <c r="K240" s="4">
        <f t="shared" si="12"/>
        <v>62.94</v>
      </c>
      <c r="L240" s="4"/>
    </row>
    <row r="241" spans="1:12" ht="20.25" customHeight="1">
      <c r="A241" s="3">
        <v>239</v>
      </c>
      <c r="B241" s="8">
        <v>180035</v>
      </c>
      <c r="C241" s="9"/>
      <c r="D241" s="9" t="str">
        <f>"2018012213"</f>
        <v>2018012213</v>
      </c>
      <c r="E241" s="9">
        <v>39.5</v>
      </c>
      <c r="F241" s="9">
        <v>83</v>
      </c>
      <c r="G241" s="9">
        <f t="shared" si="14"/>
        <v>69.94999999999999</v>
      </c>
      <c r="H241" s="9"/>
      <c r="I241" s="4">
        <v>66.6</v>
      </c>
      <c r="J241" s="4">
        <f t="shared" si="15"/>
        <v>66.6</v>
      </c>
      <c r="K241" s="4">
        <f t="shared" si="12"/>
        <v>61.62</v>
      </c>
      <c r="L241" s="4"/>
    </row>
    <row r="242" spans="1:12" ht="20.25" customHeight="1">
      <c r="A242" s="3">
        <v>240</v>
      </c>
      <c r="B242" s="8">
        <v>180035</v>
      </c>
      <c r="C242" s="9"/>
      <c r="D242" s="9" t="str">
        <f>"2018012230"</f>
        <v>2018012230</v>
      </c>
      <c r="E242" s="9">
        <v>42</v>
      </c>
      <c r="F242" s="9">
        <v>80</v>
      </c>
      <c r="G242" s="9">
        <f t="shared" si="14"/>
        <v>68.6</v>
      </c>
      <c r="H242" s="9"/>
      <c r="I242" s="4">
        <v>66</v>
      </c>
      <c r="J242" s="4">
        <f t="shared" si="15"/>
        <v>66</v>
      </c>
      <c r="K242" s="4">
        <f t="shared" si="12"/>
        <v>60.7</v>
      </c>
      <c r="L242" s="4"/>
    </row>
    <row r="243" spans="1:12" ht="20.25" customHeight="1">
      <c r="A243" s="3">
        <v>241</v>
      </c>
      <c r="B243" s="8">
        <v>180035</v>
      </c>
      <c r="C243" s="9"/>
      <c r="D243" s="9" t="str">
        <f>"2018012311"</f>
        <v>2018012311</v>
      </c>
      <c r="E243" s="9">
        <v>30.5</v>
      </c>
      <c r="F243" s="9">
        <v>81</v>
      </c>
      <c r="G243" s="9">
        <f t="shared" si="14"/>
        <v>65.85</v>
      </c>
      <c r="H243" s="9"/>
      <c r="I243" s="4">
        <v>67.4</v>
      </c>
      <c r="J243" s="4">
        <f t="shared" si="15"/>
        <v>67.4</v>
      </c>
      <c r="K243" s="4">
        <f t="shared" si="12"/>
        <v>59.89</v>
      </c>
      <c r="L243" s="4"/>
    </row>
    <row r="244" spans="1:12" ht="20.25" customHeight="1">
      <c r="A244" s="3">
        <v>242</v>
      </c>
      <c r="B244" s="8">
        <v>180035</v>
      </c>
      <c r="C244" s="9"/>
      <c r="D244" s="9" t="str">
        <f>"2018012226"</f>
        <v>2018012226</v>
      </c>
      <c r="E244" s="9">
        <v>50.5</v>
      </c>
      <c r="F244" s="9">
        <v>90</v>
      </c>
      <c r="G244" s="9">
        <f t="shared" si="14"/>
        <v>78.14999999999999</v>
      </c>
      <c r="H244" s="9"/>
      <c r="I244" s="4">
        <v>0</v>
      </c>
      <c r="J244" s="4">
        <v>0</v>
      </c>
      <c r="K244" s="4">
        <f t="shared" si="12"/>
        <v>39.08</v>
      </c>
      <c r="L244" s="4"/>
    </row>
    <row r="245" spans="1:12" ht="20.25" customHeight="1">
      <c r="A245" s="3">
        <v>243</v>
      </c>
      <c r="B245" s="8">
        <v>180035</v>
      </c>
      <c r="C245" s="9"/>
      <c r="D245" s="9" t="str">
        <f>"2018012316"</f>
        <v>2018012316</v>
      </c>
      <c r="E245" s="9">
        <v>38.5</v>
      </c>
      <c r="F245" s="9">
        <v>95</v>
      </c>
      <c r="G245" s="9">
        <f t="shared" si="14"/>
        <v>78.05</v>
      </c>
      <c r="H245" s="9"/>
      <c r="I245" s="4">
        <v>0</v>
      </c>
      <c r="J245" s="4">
        <v>0</v>
      </c>
      <c r="K245" s="4">
        <f t="shared" si="12"/>
        <v>39.03</v>
      </c>
      <c r="L245" s="4"/>
    </row>
    <row r="246" spans="1:12" ht="20.25" customHeight="1">
      <c r="A246" s="3">
        <v>244</v>
      </c>
      <c r="B246" s="8">
        <v>180035</v>
      </c>
      <c r="C246" s="9"/>
      <c r="D246" s="9" t="str">
        <f>"2018012317"</f>
        <v>2018012317</v>
      </c>
      <c r="E246" s="9">
        <v>44</v>
      </c>
      <c r="F246" s="9">
        <v>85</v>
      </c>
      <c r="G246" s="9">
        <f t="shared" si="14"/>
        <v>72.69999999999999</v>
      </c>
      <c r="H246" s="9"/>
      <c r="I246" s="4">
        <v>0</v>
      </c>
      <c r="J246" s="4">
        <v>0</v>
      </c>
      <c r="K246" s="4">
        <f t="shared" si="12"/>
        <v>36.35</v>
      </c>
      <c r="L246" s="4"/>
    </row>
    <row r="247" spans="1:12" ht="20.25" customHeight="1">
      <c r="A247" s="3">
        <v>245</v>
      </c>
      <c r="B247" s="8">
        <v>180035</v>
      </c>
      <c r="C247" s="9"/>
      <c r="D247" s="9" t="str">
        <f>"2018012212"</f>
        <v>2018012212</v>
      </c>
      <c r="E247" s="9">
        <v>46.5</v>
      </c>
      <c r="F247" s="9">
        <v>83</v>
      </c>
      <c r="G247" s="9">
        <f t="shared" si="14"/>
        <v>72.05</v>
      </c>
      <c r="H247" s="9"/>
      <c r="I247" s="4">
        <v>0</v>
      </c>
      <c r="J247" s="4">
        <f aca="true" t="shared" si="16" ref="J247:J277">I247</f>
        <v>0</v>
      </c>
      <c r="K247" s="4">
        <f t="shared" si="12"/>
        <v>36.03</v>
      </c>
      <c r="L247" s="4"/>
    </row>
    <row r="248" spans="1:12" ht="20.25" customHeight="1">
      <c r="A248" s="3">
        <v>246</v>
      </c>
      <c r="B248" s="8">
        <v>180035</v>
      </c>
      <c r="C248" s="9"/>
      <c r="D248" s="9" t="str">
        <f>"2018012318"</f>
        <v>2018012318</v>
      </c>
      <c r="E248" s="9">
        <v>28.5</v>
      </c>
      <c r="F248" s="9">
        <v>89</v>
      </c>
      <c r="G248" s="9">
        <f t="shared" si="14"/>
        <v>70.85</v>
      </c>
      <c r="H248" s="9"/>
      <c r="I248" s="4">
        <v>0</v>
      </c>
      <c r="J248" s="4">
        <f t="shared" si="16"/>
        <v>0</v>
      </c>
      <c r="K248" s="4">
        <f t="shared" si="12"/>
        <v>35.43</v>
      </c>
      <c r="L248" s="4"/>
    </row>
    <row r="249" spans="1:12" ht="20.25" customHeight="1">
      <c r="A249" s="3">
        <v>247</v>
      </c>
      <c r="B249" s="8">
        <v>180070</v>
      </c>
      <c r="C249" s="9"/>
      <c r="D249" s="9" t="str">
        <f>"2018013827"</f>
        <v>2018013827</v>
      </c>
      <c r="E249" s="9">
        <v>29</v>
      </c>
      <c r="F249" s="9">
        <v>85</v>
      </c>
      <c r="G249" s="9">
        <f t="shared" si="14"/>
        <v>68.19999999999999</v>
      </c>
      <c r="H249" s="9"/>
      <c r="I249" s="4">
        <v>75</v>
      </c>
      <c r="J249" s="4">
        <f t="shared" si="16"/>
        <v>75</v>
      </c>
      <c r="K249" s="4">
        <f t="shared" si="12"/>
        <v>64.1</v>
      </c>
      <c r="L249" s="4"/>
    </row>
    <row r="250" spans="1:12" ht="20.25" customHeight="1">
      <c r="A250" s="3">
        <v>248</v>
      </c>
      <c r="B250" s="8">
        <v>180070</v>
      </c>
      <c r="C250" s="9"/>
      <c r="D250" s="9" t="str">
        <f>"2018013826"</f>
        <v>2018013826</v>
      </c>
      <c r="E250" s="9">
        <v>36.5</v>
      </c>
      <c r="F250" s="9">
        <v>75</v>
      </c>
      <c r="G250" s="9">
        <f t="shared" si="14"/>
        <v>63.45</v>
      </c>
      <c r="H250" s="9"/>
      <c r="I250" s="4">
        <v>72</v>
      </c>
      <c r="J250" s="4">
        <f t="shared" si="16"/>
        <v>72</v>
      </c>
      <c r="K250" s="4">
        <f t="shared" si="12"/>
        <v>60.53</v>
      </c>
      <c r="L250" s="4"/>
    </row>
    <row r="251" spans="1:12" ht="20.25" customHeight="1">
      <c r="A251" s="3">
        <v>249</v>
      </c>
      <c r="B251" s="8">
        <v>180036</v>
      </c>
      <c r="C251" s="9"/>
      <c r="D251" s="9" t="str">
        <f>"2018013320"</f>
        <v>2018013320</v>
      </c>
      <c r="E251" s="9">
        <v>47</v>
      </c>
      <c r="F251" s="9">
        <v>107</v>
      </c>
      <c r="G251" s="9">
        <f t="shared" si="14"/>
        <v>88.99999999999999</v>
      </c>
      <c r="H251" s="9"/>
      <c r="I251" s="4">
        <v>81.2</v>
      </c>
      <c r="J251" s="4">
        <f t="shared" si="16"/>
        <v>81.2</v>
      </c>
      <c r="K251" s="4">
        <f t="shared" si="12"/>
        <v>76.98</v>
      </c>
      <c r="L251" s="4"/>
    </row>
    <row r="252" spans="1:12" ht="20.25" customHeight="1">
      <c r="A252" s="3">
        <v>250</v>
      </c>
      <c r="B252" s="8">
        <v>180036</v>
      </c>
      <c r="C252" s="9"/>
      <c r="D252" s="9" t="str">
        <f>"2018013513"</f>
        <v>2018013513</v>
      </c>
      <c r="E252" s="9">
        <v>63</v>
      </c>
      <c r="F252" s="9">
        <v>95</v>
      </c>
      <c r="G252" s="9">
        <f t="shared" si="14"/>
        <v>85.4</v>
      </c>
      <c r="H252" s="9"/>
      <c r="I252" s="4">
        <v>81</v>
      </c>
      <c r="J252" s="4">
        <f t="shared" si="16"/>
        <v>81</v>
      </c>
      <c r="K252" s="4">
        <f t="shared" si="12"/>
        <v>75.1</v>
      </c>
      <c r="L252" s="4"/>
    </row>
    <row r="253" spans="1:12" ht="20.25" customHeight="1">
      <c r="A253" s="3">
        <v>251</v>
      </c>
      <c r="B253" s="8">
        <v>180036</v>
      </c>
      <c r="C253" s="9"/>
      <c r="D253" s="9" t="str">
        <f>"2018013327"</f>
        <v>2018013327</v>
      </c>
      <c r="E253" s="9">
        <v>55.5</v>
      </c>
      <c r="F253" s="9">
        <v>95</v>
      </c>
      <c r="G253" s="9">
        <f t="shared" si="14"/>
        <v>83.15</v>
      </c>
      <c r="H253" s="9"/>
      <c r="I253" s="4">
        <v>80.2</v>
      </c>
      <c r="J253" s="4">
        <f t="shared" si="16"/>
        <v>80.2</v>
      </c>
      <c r="K253" s="4">
        <f t="shared" si="12"/>
        <v>73.66</v>
      </c>
      <c r="L253" s="4"/>
    </row>
    <row r="254" spans="1:12" ht="20.25" customHeight="1">
      <c r="A254" s="3">
        <v>252</v>
      </c>
      <c r="B254" s="8">
        <v>180036</v>
      </c>
      <c r="C254" s="9"/>
      <c r="D254" s="9" t="str">
        <f>"2018013515"</f>
        <v>2018013515</v>
      </c>
      <c r="E254" s="9">
        <v>51</v>
      </c>
      <c r="F254" s="9">
        <v>93</v>
      </c>
      <c r="G254" s="9">
        <f t="shared" si="14"/>
        <v>80.39999999999999</v>
      </c>
      <c r="H254" s="9"/>
      <c r="I254" s="4">
        <v>81.4</v>
      </c>
      <c r="J254" s="4">
        <f t="shared" si="16"/>
        <v>81.4</v>
      </c>
      <c r="K254" s="4">
        <f t="shared" si="12"/>
        <v>72.76</v>
      </c>
      <c r="L254" s="4"/>
    </row>
    <row r="255" spans="1:12" ht="20.25" customHeight="1">
      <c r="A255" s="3">
        <v>253</v>
      </c>
      <c r="B255" s="8">
        <v>180036</v>
      </c>
      <c r="C255" s="9"/>
      <c r="D255" s="9" t="str">
        <f>"2018013504"</f>
        <v>2018013504</v>
      </c>
      <c r="E255" s="9">
        <v>50</v>
      </c>
      <c r="F255" s="9">
        <v>91</v>
      </c>
      <c r="G255" s="9">
        <f t="shared" si="14"/>
        <v>78.69999999999999</v>
      </c>
      <c r="H255" s="9"/>
      <c r="I255" s="4">
        <v>79.6</v>
      </c>
      <c r="J255" s="4">
        <f t="shared" si="16"/>
        <v>79.6</v>
      </c>
      <c r="K255" s="4">
        <f t="shared" si="12"/>
        <v>71.19</v>
      </c>
      <c r="L255" s="4"/>
    </row>
    <row r="256" spans="1:12" ht="20.25" customHeight="1">
      <c r="A256" s="3">
        <v>254</v>
      </c>
      <c r="B256" s="8">
        <v>180036</v>
      </c>
      <c r="C256" s="9"/>
      <c r="D256" s="9" t="str">
        <f>"2018013516"</f>
        <v>2018013516</v>
      </c>
      <c r="E256" s="9">
        <v>31.5</v>
      </c>
      <c r="F256" s="9">
        <v>95</v>
      </c>
      <c r="G256" s="9">
        <f t="shared" si="14"/>
        <v>75.95</v>
      </c>
      <c r="H256" s="9"/>
      <c r="I256" s="4">
        <v>82.4</v>
      </c>
      <c r="J256" s="4">
        <f t="shared" si="16"/>
        <v>82.4</v>
      </c>
      <c r="K256" s="4">
        <f t="shared" si="12"/>
        <v>70.94</v>
      </c>
      <c r="L256" s="4"/>
    </row>
    <row r="257" spans="1:12" ht="20.25" customHeight="1">
      <c r="A257" s="3">
        <v>255</v>
      </c>
      <c r="B257" s="8">
        <v>180036</v>
      </c>
      <c r="C257" s="9"/>
      <c r="D257" s="9" t="str">
        <f>"2018013426"</f>
        <v>2018013426</v>
      </c>
      <c r="E257" s="9">
        <v>61</v>
      </c>
      <c r="F257" s="9">
        <v>80</v>
      </c>
      <c r="G257" s="9">
        <f t="shared" si="14"/>
        <v>74.3</v>
      </c>
      <c r="H257" s="9"/>
      <c r="I257" s="4">
        <v>84.2</v>
      </c>
      <c r="J257" s="4">
        <f t="shared" si="16"/>
        <v>84.2</v>
      </c>
      <c r="K257" s="4">
        <f t="shared" si="12"/>
        <v>70.83</v>
      </c>
      <c r="L257" s="4"/>
    </row>
    <row r="258" spans="1:12" ht="20.25" customHeight="1">
      <c r="A258" s="3">
        <v>256</v>
      </c>
      <c r="B258" s="8">
        <v>180036</v>
      </c>
      <c r="C258" s="9"/>
      <c r="D258" s="9" t="str">
        <f>"2018013503"</f>
        <v>2018013503</v>
      </c>
      <c r="E258" s="9">
        <v>37</v>
      </c>
      <c r="F258" s="9">
        <v>91</v>
      </c>
      <c r="G258" s="9">
        <f t="shared" si="14"/>
        <v>74.8</v>
      </c>
      <c r="H258" s="9"/>
      <c r="I258" s="4">
        <v>83.2</v>
      </c>
      <c r="J258" s="4">
        <f t="shared" si="16"/>
        <v>83.2</v>
      </c>
      <c r="K258" s="4">
        <f t="shared" si="12"/>
        <v>70.68</v>
      </c>
      <c r="L258" s="4"/>
    </row>
    <row r="259" spans="1:12" ht="20.25" customHeight="1">
      <c r="A259" s="3">
        <v>257</v>
      </c>
      <c r="B259" s="8">
        <v>180036</v>
      </c>
      <c r="C259" s="9"/>
      <c r="D259" s="9" t="str">
        <f>"2018013313"</f>
        <v>2018013313</v>
      </c>
      <c r="E259" s="9">
        <v>54.5</v>
      </c>
      <c r="F259" s="9">
        <v>79.5</v>
      </c>
      <c r="G259" s="9">
        <f t="shared" si="14"/>
        <v>72</v>
      </c>
      <c r="H259" s="9"/>
      <c r="I259" s="4">
        <v>84.6</v>
      </c>
      <c r="J259" s="4">
        <f t="shared" si="16"/>
        <v>84.6</v>
      </c>
      <c r="K259" s="4">
        <f t="shared" si="12"/>
        <v>69.84</v>
      </c>
      <c r="L259" s="4"/>
    </row>
    <row r="260" spans="1:12" ht="20.25" customHeight="1">
      <c r="A260" s="3">
        <v>258</v>
      </c>
      <c r="B260" s="8">
        <v>180036</v>
      </c>
      <c r="C260" s="9"/>
      <c r="D260" s="9" t="str">
        <f>"2018013511"</f>
        <v>2018013511</v>
      </c>
      <c r="E260" s="9">
        <v>53</v>
      </c>
      <c r="F260" s="9">
        <v>81</v>
      </c>
      <c r="G260" s="9">
        <f t="shared" si="14"/>
        <v>72.6</v>
      </c>
      <c r="H260" s="9"/>
      <c r="I260" s="4">
        <v>81.8</v>
      </c>
      <c r="J260" s="4">
        <f t="shared" si="16"/>
        <v>81.8</v>
      </c>
      <c r="K260" s="4">
        <f aca="true" t="shared" si="17" ref="K260:K323">ROUND(G260/1.2*0.6+J260*0.4,2)</f>
        <v>69.02</v>
      </c>
      <c r="L260" s="4"/>
    </row>
    <row r="261" spans="1:12" ht="20.25" customHeight="1">
      <c r="A261" s="3">
        <v>259</v>
      </c>
      <c r="B261" s="8">
        <v>180036</v>
      </c>
      <c r="C261" s="9"/>
      <c r="D261" s="9" t="str">
        <f>"2018013316"</f>
        <v>2018013316</v>
      </c>
      <c r="E261" s="9">
        <v>53</v>
      </c>
      <c r="F261" s="9">
        <v>81</v>
      </c>
      <c r="G261" s="9">
        <f t="shared" si="14"/>
        <v>72.6</v>
      </c>
      <c r="H261" s="9"/>
      <c r="I261" s="4">
        <v>81.6</v>
      </c>
      <c r="J261" s="4">
        <f t="shared" si="16"/>
        <v>81.6</v>
      </c>
      <c r="K261" s="4">
        <f t="shared" si="17"/>
        <v>68.94</v>
      </c>
      <c r="L261" s="4"/>
    </row>
    <row r="262" spans="1:12" ht="20.25" customHeight="1">
      <c r="A262" s="3">
        <v>260</v>
      </c>
      <c r="B262" s="8">
        <v>180036</v>
      </c>
      <c r="C262" s="9"/>
      <c r="D262" s="9" t="str">
        <f>"2018013417"</f>
        <v>2018013417</v>
      </c>
      <c r="E262" s="9">
        <v>61</v>
      </c>
      <c r="F262" s="9">
        <v>75</v>
      </c>
      <c r="G262" s="9">
        <f t="shared" si="14"/>
        <v>70.8</v>
      </c>
      <c r="H262" s="9"/>
      <c r="I262" s="4">
        <v>83.2</v>
      </c>
      <c r="J262" s="4">
        <f t="shared" si="16"/>
        <v>83.2</v>
      </c>
      <c r="K262" s="4">
        <f t="shared" si="17"/>
        <v>68.68</v>
      </c>
      <c r="L262" s="4"/>
    </row>
    <row r="263" spans="1:12" ht="20.25" customHeight="1">
      <c r="A263" s="3">
        <v>261</v>
      </c>
      <c r="B263" s="8">
        <v>180036</v>
      </c>
      <c r="C263" s="9"/>
      <c r="D263" s="9" t="str">
        <f>"2018013329"</f>
        <v>2018013329</v>
      </c>
      <c r="E263" s="9">
        <v>42</v>
      </c>
      <c r="F263" s="9">
        <v>88</v>
      </c>
      <c r="G263" s="9">
        <f t="shared" si="14"/>
        <v>74.19999999999999</v>
      </c>
      <c r="H263" s="9"/>
      <c r="I263" s="4">
        <v>78.8</v>
      </c>
      <c r="J263" s="4">
        <f t="shared" si="16"/>
        <v>78.8</v>
      </c>
      <c r="K263" s="4">
        <f t="shared" si="17"/>
        <v>68.62</v>
      </c>
      <c r="L263" s="4"/>
    </row>
    <row r="264" spans="1:12" ht="20.25" customHeight="1">
      <c r="A264" s="3">
        <v>262</v>
      </c>
      <c r="B264" s="8">
        <v>180036</v>
      </c>
      <c r="C264" s="9"/>
      <c r="D264" s="9" t="str">
        <f>"2018013413"</f>
        <v>2018013413</v>
      </c>
      <c r="E264" s="9">
        <v>45.5</v>
      </c>
      <c r="F264" s="9">
        <v>88</v>
      </c>
      <c r="G264" s="9">
        <f t="shared" si="14"/>
        <v>75.25</v>
      </c>
      <c r="H264" s="9"/>
      <c r="I264" s="4">
        <v>76.6</v>
      </c>
      <c r="J264" s="4">
        <f t="shared" si="16"/>
        <v>76.6</v>
      </c>
      <c r="K264" s="4">
        <f t="shared" si="17"/>
        <v>68.27</v>
      </c>
      <c r="L264" s="4"/>
    </row>
    <row r="265" spans="1:12" ht="20.25" customHeight="1">
      <c r="A265" s="3">
        <v>263</v>
      </c>
      <c r="B265" s="8">
        <v>180036</v>
      </c>
      <c r="C265" s="9"/>
      <c r="D265" s="9" t="str">
        <f>"2018013506"</f>
        <v>2018013506</v>
      </c>
      <c r="E265" s="9">
        <v>47</v>
      </c>
      <c r="F265" s="9">
        <v>80</v>
      </c>
      <c r="G265" s="9">
        <f t="shared" si="14"/>
        <v>70.1</v>
      </c>
      <c r="H265" s="9"/>
      <c r="I265" s="4">
        <v>82.6</v>
      </c>
      <c r="J265" s="4">
        <f t="shared" si="16"/>
        <v>82.6</v>
      </c>
      <c r="K265" s="4">
        <f t="shared" si="17"/>
        <v>68.09</v>
      </c>
      <c r="L265" s="4"/>
    </row>
    <row r="266" spans="1:12" ht="20.25" customHeight="1">
      <c r="A266" s="3">
        <v>264</v>
      </c>
      <c r="B266" s="8">
        <v>180036</v>
      </c>
      <c r="C266" s="9"/>
      <c r="D266" s="9" t="str">
        <f>"2018013512"</f>
        <v>2018013512</v>
      </c>
      <c r="E266" s="9">
        <v>44</v>
      </c>
      <c r="F266" s="9">
        <v>88.5</v>
      </c>
      <c r="G266" s="9">
        <f t="shared" si="14"/>
        <v>75.14999999999999</v>
      </c>
      <c r="H266" s="9"/>
      <c r="I266" s="4">
        <v>76</v>
      </c>
      <c r="J266" s="4">
        <f t="shared" si="16"/>
        <v>76</v>
      </c>
      <c r="K266" s="4">
        <f t="shared" si="17"/>
        <v>67.98</v>
      </c>
      <c r="L266" s="4"/>
    </row>
    <row r="267" spans="1:12" ht="20.25" customHeight="1">
      <c r="A267" s="3">
        <v>265</v>
      </c>
      <c r="B267" s="8">
        <v>180036</v>
      </c>
      <c r="C267" s="9"/>
      <c r="D267" s="9" t="str">
        <f>"2018013411"</f>
        <v>2018013411</v>
      </c>
      <c r="E267" s="9">
        <v>41.5</v>
      </c>
      <c r="F267" s="9">
        <v>85</v>
      </c>
      <c r="G267" s="9">
        <f t="shared" si="14"/>
        <v>71.94999999999999</v>
      </c>
      <c r="H267" s="9"/>
      <c r="I267" s="4">
        <v>79.8</v>
      </c>
      <c r="J267" s="4">
        <f t="shared" si="16"/>
        <v>79.8</v>
      </c>
      <c r="K267" s="4">
        <f t="shared" si="17"/>
        <v>67.9</v>
      </c>
      <c r="L267" s="4"/>
    </row>
    <row r="268" spans="1:12" ht="20.25" customHeight="1">
      <c r="A268" s="3">
        <v>266</v>
      </c>
      <c r="B268" s="8">
        <v>180036</v>
      </c>
      <c r="C268" s="9"/>
      <c r="D268" s="9" t="str">
        <f>"2018013519"</f>
        <v>2018013519</v>
      </c>
      <c r="E268" s="9">
        <v>39.5</v>
      </c>
      <c r="F268" s="9">
        <v>88</v>
      </c>
      <c r="G268" s="9">
        <f t="shared" si="14"/>
        <v>73.44999999999999</v>
      </c>
      <c r="H268" s="9"/>
      <c r="I268" s="4">
        <v>75.2</v>
      </c>
      <c r="J268" s="4">
        <f t="shared" si="16"/>
        <v>75.2</v>
      </c>
      <c r="K268" s="4">
        <f t="shared" si="17"/>
        <v>66.81</v>
      </c>
      <c r="L268" s="4"/>
    </row>
    <row r="269" spans="1:12" ht="20.25" customHeight="1">
      <c r="A269" s="3">
        <v>267</v>
      </c>
      <c r="B269" s="8">
        <v>180036</v>
      </c>
      <c r="C269" s="9"/>
      <c r="D269" s="9" t="str">
        <f>"2018013318"</f>
        <v>2018013318</v>
      </c>
      <c r="E269" s="9">
        <v>41.5</v>
      </c>
      <c r="F269" s="9">
        <v>83</v>
      </c>
      <c r="G269" s="9">
        <f t="shared" si="14"/>
        <v>70.55</v>
      </c>
      <c r="H269" s="9"/>
      <c r="I269" s="4">
        <v>77</v>
      </c>
      <c r="J269" s="4">
        <f t="shared" si="16"/>
        <v>77</v>
      </c>
      <c r="K269" s="4">
        <f t="shared" si="17"/>
        <v>66.08</v>
      </c>
      <c r="L269" s="4"/>
    </row>
    <row r="270" spans="1:12" ht="20.25" customHeight="1">
      <c r="A270" s="3">
        <v>268</v>
      </c>
      <c r="B270" s="8">
        <v>180036</v>
      </c>
      <c r="C270" s="14"/>
      <c r="D270" s="14" t="s">
        <v>11</v>
      </c>
      <c r="E270" s="14">
        <v>43.5</v>
      </c>
      <c r="F270" s="14">
        <v>81</v>
      </c>
      <c r="G270" s="14">
        <v>69.75</v>
      </c>
      <c r="H270" s="9"/>
      <c r="I270" s="4">
        <v>77.4</v>
      </c>
      <c r="J270" s="4">
        <f t="shared" si="16"/>
        <v>77.4</v>
      </c>
      <c r="K270" s="4">
        <f t="shared" si="17"/>
        <v>65.84</v>
      </c>
      <c r="L270" s="4"/>
    </row>
    <row r="271" spans="1:12" ht="20.25" customHeight="1">
      <c r="A271" s="3">
        <v>269</v>
      </c>
      <c r="B271" s="8">
        <v>180036</v>
      </c>
      <c r="C271" s="9"/>
      <c r="D271" s="9" t="str">
        <f>"2018013407"</f>
        <v>2018013407</v>
      </c>
      <c r="E271" s="9">
        <v>48.5</v>
      </c>
      <c r="F271" s="9">
        <v>86</v>
      </c>
      <c r="G271" s="9">
        <f aca="true" t="shared" si="18" ref="G271:G302">E271*0.3+F271*0.7</f>
        <v>74.75</v>
      </c>
      <c r="H271" s="9"/>
      <c r="I271" s="4">
        <v>70</v>
      </c>
      <c r="J271" s="4">
        <f t="shared" si="16"/>
        <v>70</v>
      </c>
      <c r="K271" s="4">
        <f t="shared" si="17"/>
        <v>65.38</v>
      </c>
      <c r="L271" s="4"/>
    </row>
    <row r="272" spans="1:12" ht="20.25" customHeight="1">
      <c r="A272" s="3">
        <v>270</v>
      </c>
      <c r="B272" s="8">
        <v>180036</v>
      </c>
      <c r="C272" s="9"/>
      <c r="D272" s="9" t="str">
        <f>"2018013311"</f>
        <v>2018013311</v>
      </c>
      <c r="E272" s="9">
        <v>76</v>
      </c>
      <c r="F272" s="9">
        <v>88</v>
      </c>
      <c r="G272" s="9">
        <f t="shared" si="18"/>
        <v>84.39999999999999</v>
      </c>
      <c r="H272" s="9"/>
      <c r="I272" s="4">
        <v>0</v>
      </c>
      <c r="J272" s="4">
        <f t="shared" si="16"/>
        <v>0</v>
      </c>
      <c r="K272" s="4">
        <f t="shared" si="17"/>
        <v>42.2</v>
      </c>
      <c r="L272" s="4"/>
    </row>
    <row r="273" spans="1:12" ht="20.25" customHeight="1">
      <c r="A273" s="3">
        <v>271</v>
      </c>
      <c r="B273" s="8">
        <v>180036</v>
      </c>
      <c r="C273" s="9"/>
      <c r="D273" s="9" t="str">
        <f>"2018013420"</f>
        <v>2018013420</v>
      </c>
      <c r="E273" s="9">
        <v>56</v>
      </c>
      <c r="F273" s="9">
        <v>78</v>
      </c>
      <c r="G273" s="9">
        <f t="shared" si="18"/>
        <v>71.39999999999999</v>
      </c>
      <c r="H273" s="9"/>
      <c r="I273" s="4">
        <v>0</v>
      </c>
      <c r="J273" s="4">
        <f t="shared" si="16"/>
        <v>0</v>
      </c>
      <c r="K273" s="4">
        <f t="shared" si="17"/>
        <v>35.7</v>
      </c>
      <c r="L273" s="4"/>
    </row>
    <row r="274" spans="1:12" ht="20.25" customHeight="1">
      <c r="A274" s="3">
        <v>272</v>
      </c>
      <c r="B274" s="8">
        <v>180036</v>
      </c>
      <c r="C274" s="9"/>
      <c r="D274" s="9" t="str">
        <f>"2018013509"</f>
        <v>2018013509</v>
      </c>
      <c r="E274" s="9">
        <v>47</v>
      </c>
      <c r="F274" s="9">
        <v>80</v>
      </c>
      <c r="G274" s="9">
        <f t="shared" si="18"/>
        <v>70.1</v>
      </c>
      <c r="H274" s="9"/>
      <c r="I274" s="4">
        <v>0</v>
      </c>
      <c r="J274" s="4">
        <f t="shared" si="16"/>
        <v>0</v>
      </c>
      <c r="K274" s="4">
        <f t="shared" si="17"/>
        <v>35.05</v>
      </c>
      <c r="L274" s="4"/>
    </row>
    <row r="275" spans="1:12" ht="20.25" customHeight="1">
      <c r="A275" s="3">
        <v>273</v>
      </c>
      <c r="B275" s="8">
        <v>180039</v>
      </c>
      <c r="C275" s="9"/>
      <c r="D275" s="9" t="str">
        <f>"2018014020"</f>
        <v>2018014020</v>
      </c>
      <c r="E275" s="9">
        <v>71</v>
      </c>
      <c r="F275" s="9">
        <v>75</v>
      </c>
      <c r="G275" s="9">
        <f t="shared" si="18"/>
        <v>73.8</v>
      </c>
      <c r="H275" s="9"/>
      <c r="I275" s="4">
        <v>78</v>
      </c>
      <c r="J275" s="4">
        <f t="shared" si="16"/>
        <v>78</v>
      </c>
      <c r="K275" s="4">
        <f t="shared" si="17"/>
        <v>68.1</v>
      </c>
      <c r="L275" s="4"/>
    </row>
    <row r="276" spans="1:12" ht="20.25" customHeight="1">
      <c r="A276" s="3">
        <v>274</v>
      </c>
      <c r="B276" s="8">
        <v>180040</v>
      </c>
      <c r="C276" s="9"/>
      <c r="D276" s="9" t="str">
        <f>"2018014023"</f>
        <v>2018014023</v>
      </c>
      <c r="E276" s="9">
        <v>73</v>
      </c>
      <c r="F276" s="9">
        <v>101</v>
      </c>
      <c r="G276" s="9">
        <f t="shared" si="18"/>
        <v>92.6</v>
      </c>
      <c r="H276" s="9"/>
      <c r="I276" s="4">
        <v>64.4</v>
      </c>
      <c r="J276" s="4">
        <f t="shared" si="16"/>
        <v>64.4</v>
      </c>
      <c r="K276" s="4">
        <f t="shared" si="17"/>
        <v>72.06</v>
      </c>
      <c r="L276" s="4"/>
    </row>
    <row r="277" spans="1:12" ht="20.25" customHeight="1">
      <c r="A277" s="3">
        <v>275</v>
      </c>
      <c r="B277" s="8">
        <v>180040</v>
      </c>
      <c r="C277" s="9"/>
      <c r="D277" s="9" t="str">
        <f>"2018014022"</f>
        <v>2018014022</v>
      </c>
      <c r="E277" s="9">
        <v>55</v>
      </c>
      <c r="F277" s="9">
        <v>84.5</v>
      </c>
      <c r="G277" s="9">
        <f t="shared" si="18"/>
        <v>75.65</v>
      </c>
      <c r="H277" s="9"/>
      <c r="I277" s="4">
        <v>74.4</v>
      </c>
      <c r="J277" s="4">
        <f t="shared" si="16"/>
        <v>74.4</v>
      </c>
      <c r="K277" s="4">
        <f t="shared" si="17"/>
        <v>67.59</v>
      </c>
      <c r="L277" s="4"/>
    </row>
    <row r="278" spans="1:12" ht="20.25" customHeight="1">
      <c r="A278" s="3">
        <v>276</v>
      </c>
      <c r="B278" s="8">
        <v>180040</v>
      </c>
      <c r="C278" s="9"/>
      <c r="D278" s="9" t="str">
        <f>"2018014024"</f>
        <v>2018014024</v>
      </c>
      <c r="E278" s="9">
        <v>63</v>
      </c>
      <c r="F278" s="9">
        <v>91.5</v>
      </c>
      <c r="G278" s="9">
        <f t="shared" si="18"/>
        <v>82.94999999999999</v>
      </c>
      <c r="H278" s="9"/>
      <c r="I278" s="4">
        <v>0</v>
      </c>
      <c r="J278" s="4">
        <v>0</v>
      </c>
      <c r="K278" s="4">
        <f t="shared" si="17"/>
        <v>41.48</v>
      </c>
      <c r="L278" s="4"/>
    </row>
    <row r="279" spans="1:12" ht="20.25" customHeight="1">
      <c r="A279" s="3">
        <v>277</v>
      </c>
      <c r="B279" s="8">
        <v>180041</v>
      </c>
      <c r="C279" s="9"/>
      <c r="D279" s="9" t="str">
        <f>"2018014103"</f>
        <v>2018014103</v>
      </c>
      <c r="E279" s="9">
        <v>57</v>
      </c>
      <c r="F279" s="9">
        <v>70</v>
      </c>
      <c r="G279" s="9">
        <f t="shared" si="18"/>
        <v>66.1</v>
      </c>
      <c r="H279" s="9"/>
      <c r="I279" s="4">
        <v>79.8</v>
      </c>
      <c r="J279" s="4">
        <f aca="true" t="shared" si="19" ref="J279:J287">I279</f>
        <v>79.8</v>
      </c>
      <c r="K279" s="4">
        <f t="shared" si="17"/>
        <v>64.97</v>
      </c>
      <c r="L279" s="4"/>
    </row>
    <row r="280" spans="1:12" ht="20.25" customHeight="1">
      <c r="A280" s="3">
        <v>278</v>
      </c>
      <c r="B280" s="8">
        <v>180041</v>
      </c>
      <c r="C280" s="9"/>
      <c r="D280" s="9" t="str">
        <f>"2018014104"</f>
        <v>2018014104</v>
      </c>
      <c r="E280" s="9">
        <v>47.5</v>
      </c>
      <c r="F280" s="9">
        <v>75</v>
      </c>
      <c r="G280" s="9">
        <f t="shared" si="18"/>
        <v>66.75</v>
      </c>
      <c r="H280" s="9"/>
      <c r="I280" s="4">
        <v>73.4</v>
      </c>
      <c r="J280" s="4">
        <f t="shared" si="19"/>
        <v>73.4</v>
      </c>
      <c r="K280" s="4">
        <f t="shared" si="17"/>
        <v>62.74</v>
      </c>
      <c r="L280" s="4"/>
    </row>
    <row r="281" spans="1:12" ht="20.25" customHeight="1">
      <c r="A281" s="3">
        <v>279</v>
      </c>
      <c r="B281" s="8">
        <v>180056</v>
      </c>
      <c r="C281" s="9"/>
      <c r="D281" s="9" t="str">
        <f>"2018014109"</f>
        <v>2018014109</v>
      </c>
      <c r="E281" s="9">
        <v>52.5</v>
      </c>
      <c r="F281" s="9">
        <v>93</v>
      </c>
      <c r="G281" s="9">
        <f t="shared" si="18"/>
        <v>80.85</v>
      </c>
      <c r="H281" s="9"/>
      <c r="I281" s="4">
        <v>72.4</v>
      </c>
      <c r="J281" s="4">
        <f t="shared" si="19"/>
        <v>72.4</v>
      </c>
      <c r="K281" s="4">
        <f t="shared" si="17"/>
        <v>69.39</v>
      </c>
      <c r="L281" s="4"/>
    </row>
    <row r="282" spans="1:12" ht="20.25" customHeight="1">
      <c r="A282" s="3">
        <v>280</v>
      </c>
      <c r="B282" s="8">
        <v>180056</v>
      </c>
      <c r="C282" s="9"/>
      <c r="D282" s="9" t="str">
        <f>"2018014113"</f>
        <v>2018014113</v>
      </c>
      <c r="E282" s="9">
        <v>52.5</v>
      </c>
      <c r="F282" s="9">
        <v>79</v>
      </c>
      <c r="G282" s="9">
        <f t="shared" si="18"/>
        <v>71.05</v>
      </c>
      <c r="H282" s="9"/>
      <c r="I282" s="4">
        <v>80.4</v>
      </c>
      <c r="J282" s="4">
        <f t="shared" si="19"/>
        <v>80.4</v>
      </c>
      <c r="K282" s="4">
        <f t="shared" si="17"/>
        <v>67.69</v>
      </c>
      <c r="L282" s="4"/>
    </row>
    <row r="283" spans="1:12" ht="20.25" customHeight="1">
      <c r="A283" s="3">
        <v>281</v>
      </c>
      <c r="B283" s="8">
        <v>180056</v>
      </c>
      <c r="C283" s="9"/>
      <c r="D283" s="9" t="str">
        <f>"2018014114"</f>
        <v>2018014114</v>
      </c>
      <c r="E283" s="9">
        <v>56</v>
      </c>
      <c r="F283" s="9">
        <v>95</v>
      </c>
      <c r="G283" s="9">
        <f t="shared" si="18"/>
        <v>83.3</v>
      </c>
      <c r="H283" s="9"/>
      <c r="I283" s="4">
        <v>64.2</v>
      </c>
      <c r="J283" s="4">
        <f t="shared" si="19"/>
        <v>64.2</v>
      </c>
      <c r="K283" s="4">
        <f t="shared" si="17"/>
        <v>67.33</v>
      </c>
      <c r="L283" s="4"/>
    </row>
    <row r="284" spans="1:12" ht="20.25" customHeight="1">
      <c r="A284" s="3">
        <v>282</v>
      </c>
      <c r="B284" s="8">
        <v>180058</v>
      </c>
      <c r="C284" s="9"/>
      <c r="D284" s="9" t="str">
        <f>"2018013614"</f>
        <v>2018013614</v>
      </c>
      <c r="E284" s="9">
        <v>50</v>
      </c>
      <c r="F284" s="9">
        <v>83</v>
      </c>
      <c r="G284" s="9">
        <f t="shared" si="18"/>
        <v>73.1</v>
      </c>
      <c r="H284" s="9"/>
      <c r="I284" s="4">
        <v>63.6</v>
      </c>
      <c r="J284" s="4">
        <f t="shared" si="19"/>
        <v>63.6</v>
      </c>
      <c r="K284" s="4">
        <f t="shared" si="17"/>
        <v>61.99</v>
      </c>
      <c r="L284" s="4"/>
    </row>
    <row r="285" spans="1:12" ht="20.25" customHeight="1">
      <c r="A285" s="3">
        <v>283</v>
      </c>
      <c r="B285" s="8">
        <v>180058</v>
      </c>
      <c r="C285" s="9"/>
      <c r="D285" s="9" t="str">
        <f>"2018013618"</f>
        <v>2018013618</v>
      </c>
      <c r="E285" s="9">
        <v>41</v>
      </c>
      <c r="F285" s="9">
        <v>72</v>
      </c>
      <c r="G285" s="9">
        <f t="shared" si="18"/>
        <v>62.699999999999996</v>
      </c>
      <c r="H285" s="9"/>
      <c r="I285" s="4">
        <v>76.4</v>
      </c>
      <c r="J285" s="4">
        <f t="shared" si="19"/>
        <v>76.4</v>
      </c>
      <c r="K285" s="4">
        <f t="shared" si="17"/>
        <v>61.91</v>
      </c>
      <c r="L285" s="4"/>
    </row>
    <row r="286" spans="1:12" ht="20.25" customHeight="1">
      <c r="A286" s="3">
        <v>284</v>
      </c>
      <c r="B286" s="8">
        <v>180061</v>
      </c>
      <c r="C286" s="9"/>
      <c r="D286" s="9" t="str">
        <f>"2018013626"</f>
        <v>2018013626</v>
      </c>
      <c r="E286" s="9">
        <v>51.5</v>
      </c>
      <c r="F286" s="9">
        <v>83</v>
      </c>
      <c r="G286" s="9">
        <f t="shared" si="18"/>
        <v>73.55</v>
      </c>
      <c r="H286" s="9"/>
      <c r="I286" s="4">
        <v>81.8</v>
      </c>
      <c r="J286" s="4">
        <f t="shared" si="19"/>
        <v>81.8</v>
      </c>
      <c r="K286" s="4">
        <f t="shared" si="17"/>
        <v>69.5</v>
      </c>
      <c r="L286" s="4"/>
    </row>
    <row r="287" spans="1:12" ht="20.25" customHeight="1">
      <c r="A287" s="3">
        <v>285</v>
      </c>
      <c r="B287" s="8">
        <v>180062</v>
      </c>
      <c r="C287" s="9"/>
      <c r="D287" s="9" t="str">
        <f>"2018013710"</f>
        <v>2018013710</v>
      </c>
      <c r="E287" s="9">
        <v>60</v>
      </c>
      <c r="F287" s="9">
        <v>71</v>
      </c>
      <c r="G287" s="9">
        <f t="shared" si="18"/>
        <v>67.69999999999999</v>
      </c>
      <c r="H287" s="9"/>
      <c r="I287" s="4">
        <v>85.6</v>
      </c>
      <c r="J287" s="4">
        <f t="shared" si="19"/>
        <v>85.6</v>
      </c>
      <c r="K287" s="4">
        <f t="shared" si="17"/>
        <v>68.09</v>
      </c>
      <c r="L287" s="4"/>
    </row>
    <row r="288" spans="1:12" ht="20.25" customHeight="1">
      <c r="A288" s="3">
        <v>286</v>
      </c>
      <c r="B288" s="8">
        <v>180062</v>
      </c>
      <c r="C288" s="9"/>
      <c r="D288" s="9" t="str">
        <f>"2018013712"</f>
        <v>2018013712</v>
      </c>
      <c r="E288" s="9">
        <v>46</v>
      </c>
      <c r="F288" s="9">
        <v>88</v>
      </c>
      <c r="G288" s="9">
        <f t="shared" si="18"/>
        <v>75.39999999999999</v>
      </c>
      <c r="H288" s="9"/>
      <c r="I288" s="4">
        <v>0</v>
      </c>
      <c r="J288" s="4">
        <v>0</v>
      </c>
      <c r="K288" s="4">
        <f t="shared" si="17"/>
        <v>37.7</v>
      </c>
      <c r="L288" s="4"/>
    </row>
    <row r="289" spans="1:12" ht="20.25" customHeight="1">
      <c r="A289" s="3">
        <v>287</v>
      </c>
      <c r="B289" s="8">
        <v>180065</v>
      </c>
      <c r="C289" s="9"/>
      <c r="D289" s="9" t="str">
        <f>"2018013909"</f>
        <v>2018013909</v>
      </c>
      <c r="E289" s="9">
        <v>63</v>
      </c>
      <c r="F289" s="9">
        <v>88</v>
      </c>
      <c r="G289" s="9">
        <f t="shared" si="18"/>
        <v>80.5</v>
      </c>
      <c r="H289" s="9"/>
      <c r="I289" s="4">
        <v>79</v>
      </c>
      <c r="J289" s="4">
        <f aca="true" t="shared" si="20" ref="J289:J300">I289</f>
        <v>79</v>
      </c>
      <c r="K289" s="4">
        <f t="shared" si="17"/>
        <v>71.85</v>
      </c>
      <c r="L289" s="4"/>
    </row>
    <row r="290" spans="1:12" ht="20.25" customHeight="1">
      <c r="A290" s="3">
        <v>288</v>
      </c>
      <c r="B290" s="8">
        <v>180065</v>
      </c>
      <c r="C290" s="9"/>
      <c r="D290" s="9" t="str">
        <f>"2018013907"</f>
        <v>2018013907</v>
      </c>
      <c r="E290" s="9">
        <v>67.5</v>
      </c>
      <c r="F290" s="9">
        <v>83</v>
      </c>
      <c r="G290" s="9">
        <f t="shared" si="18"/>
        <v>78.35</v>
      </c>
      <c r="H290" s="9"/>
      <c r="I290" s="4">
        <v>75</v>
      </c>
      <c r="J290" s="4">
        <f t="shared" si="20"/>
        <v>75</v>
      </c>
      <c r="K290" s="4">
        <f t="shared" si="17"/>
        <v>69.18</v>
      </c>
      <c r="L290" s="4"/>
    </row>
    <row r="291" spans="1:12" ht="20.25" customHeight="1">
      <c r="A291" s="3">
        <v>289</v>
      </c>
      <c r="B291" s="8">
        <v>180065</v>
      </c>
      <c r="C291" s="9"/>
      <c r="D291" s="9" t="str">
        <f>"2018010429"</f>
        <v>2018010429</v>
      </c>
      <c r="E291" s="9">
        <v>53</v>
      </c>
      <c r="F291" s="9">
        <v>101</v>
      </c>
      <c r="G291" s="9">
        <f t="shared" si="18"/>
        <v>86.6</v>
      </c>
      <c r="H291" s="9"/>
      <c r="I291" s="4">
        <v>0</v>
      </c>
      <c r="J291" s="4">
        <f t="shared" si="20"/>
        <v>0</v>
      </c>
      <c r="K291" s="4">
        <f t="shared" si="17"/>
        <v>43.3</v>
      </c>
      <c r="L291" s="4"/>
    </row>
    <row r="292" spans="1:12" ht="20.25" customHeight="1">
      <c r="A292" s="3">
        <v>290</v>
      </c>
      <c r="B292" s="8">
        <v>180065</v>
      </c>
      <c r="C292" s="9"/>
      <c r="D292" s="9" t="str">
        <f>"2018013908"</f>
        <v>2018013908</v>
      </c>
      <c r="E292" s="9">
        <v>52</v>
      </c>
      <c r="F292" s="9">
        <v>90</v>
      </c>
      <c r="G292" s="9">
        <f t="shared" si="18"/>
        <v>78.6</v>
      </c>
      <c r="H292" s="9"/>
      <c r="I292" s="4">
        <v>0</v>
      </c>
      <c r="J292" s="4">
        <f t="shared" si="20"/>
        <v>0</v>
      </c>
      <c r="K292" s="4">
        <f t="shared" si="17"/>
        <v>39.3</v>
      </c>
      <c r="L292" s="4"/>
    </row>
    <row r="293" spans="1:12" ht="20.25" customHeight="1">
      <c r="A293" s="3">
        <v>291</v>
      </c>
      <c r="B293" s="8">
        <v>180065</v>
      </c>
      <c r="C293" s="9"/>
      <c r="D293" s="9" t="str">
        <f>"2018013906"</f>
        <v>2018013906</v>
      </c>
      <c r="E293" s="9">
        <v>37</v>
      </c>
      <c r="F293" s="9">
        <v>93</v>
      </c>
      <c r="G293" s="9">
        <f t="shared" si="18"/>
        <v>76.19999999999999</v>
      </c>
      <c r="H293" s="9"/>
      <c r="I293" s="4">
        <v>0</v>
      </c>
      <c r="J293" s="4">
        <f t="shared" si="20"/>
        <v>0</v>
      </c>
      <c r="K293" s="4">
        <f t="shared" si="17"/>
        <v>38.1</v>
      </c>
      <c r="L293" s="4"/>
    </row>
    <row r="294" spans="1:12" ht="20.25" customHeight="1">
      <c r="A294" s="3">
        <v>292</v>
      </c>
      <c r="B294" s="8">
        <v>180065</v>
      </c>
      <c r="C294" s="9"/>
      <c r="D294" s="9" t="str">
        <f>"2018013911"</f>
        <v>2018013911</v>
      </c>
      <c r="E294" s="9">
        <v>55.5</v>
      </c>
      <c r="F294" s="9">
        <v>73</v>
      </c>
      <c r="G294" s="9">
        <f t="shared" si="18"/>
        <v>67.75</v>
      </c>
      <c r="H294" s="9"/>
      <c r="I294" s="4">
        <v>0</v>
      </c>
      <c r="J294" s="4">
        <f t="shared" si="20"/>
        <v>0</v>
      </c>
      <c r="K294" s="4">
        <f t="shared" si="17"/>
        <v>33.88</v>
      </c>
      <c r="L294" s="4"/>
    </row>
    <row r="295" spans="1:12" ht="20.25" customHeight="1">
      <c r="A295" s="3">
        <v>293</v>
      </c>
      <c r="B295" s="8">
        <v>180066</v>
      </c>
      <c r="C295" s="9"/>
      <c r="D295" s="9" t="str">
        <f>"2018013929"</f>
        <v>2018013929</v>
      </c>
      <c r="E295" s="9">
        <v>52</v>
      </c>
      <c r="F295" s="9">
        <v>88</v>
      </c>
      <c r="G295" s="9">
        <f t="shared" si="18"/>
        <v>77.19999999999999</v>
      </c>
      <c r="H295" s="9"/>
      <c r="I295" s="4">
        <v>78.4</v>
      </c>
      <c r="J295" s="4">
        <f t="shared" si="20"/>
        <v>78.4</v>
      </c>
      <c r="K295" s="4">
        <f t="shared" si="17"/>
        <v>69.96</v>
      </c>
      <c r="L295" s="4"/>
    </row>
    <row r="296" spans="1:12" ht="20.25" customHeight="1">
      <c r="A296" s="3">
        <v>294</v>
      </c>
      <c r="B296" s="8">
        <v>180066</v>
      </c>
      <c r="C296" s="9"/>
      <c r="D296" s="9" t="str">
        <f>"2018013928"</f>
        <v>2018013928</v>
      </c>
      <c r="E296" s="9">
        <v>68</v>
      </c>
      <c r="F296" s="9">
        <v>74</v>
      </c>
      <c r="G296" s="9">
        <f t="shared" si="18"/>
        <v>72.19999999999999</v>
      </c>
      <c r="H296" s="9"/>
      <c r="I296" s="4">
        <v>75.8</v>
      </c>
      <c r="J296" s="4">
        <f t="shared" si="20"/>
        <v>75.8</v>
      </c>
      <c r="K296" s="4">
        <f t="shared" si="17"/>
        <v>66.42</v>
      </c>
      <c r="L296" s="4"/>
    </row>
    <row r="297" spans="1:12" ht="20.25" customHeight="1">
      <c r="A297" s="3">
        <v>295</v>
      </c>
      <c r="B297" s="8">
        <v>180066</v>
      </c>
      <c r="C297" s="9"/>
      <c r="D297" s="9" t="str">
        <f>"2018013926"</f>
        <v>2018013926</v>
      </c>
      <c r="E297" s="9">
        <v>45</v>
      </c>
      <c r="F297" s="9">
        <v>78</v>
      </c>
      <c r="G297" s="9">
        <f t="shared" si="18"/>
        <v>68.1</v>
      </c>
      <c r="H297" s="9"/>
      <c r="I297" s="4">
        <v>79.2</v>
      </c>
      <c r="J297" s="4">
        <f t="shared" si="20"/>
        <v>79.2</v>
      </c>
      <c r="K297" s="4">
        <f t="shared" si="17"/>
        <v>65.73</v>
      </c>
      <c r="L297" s="4"/>
    </row>
    <row r="298" spans="1:12" ht="20.25" customHeight="1">
      <c r="A298" s="3">
        <v>296</v>
      </c>
      <c r="B298" s="8">
        <v>180066</v>
      </c>
      <c r="C298" s="9"/>
      <c r="D298" s="9" t="str">
        <f>"2018013923"</f>
        <v>2018013923</v>
      </c>
      <c r="E298" s="9">
        <v>63.5</v>
      </c>
      <c r="F298" s="9">
        <v>69</v>
      </c>
      <c r="G298" s="9">
        <f t="shared" si="18"/>
        <v>67.35</v>
      </c>
      <c r="H298" s="9"/>
      <c r="I298" s="4">
        <v>68.6</v>
      </c>
      <c r="J298" s="4">
        <f t="shared" si="20"/>
        <v>68.6</v>
      </c>
      <c r="K298" s="4">
        <f t="shared" si="17"/>
        <v>61.12</v>
      </c>
      <c r="L298" s="4"/>
    </row>
    <row r="299" spans="1:12" ht="20.25" customHeight="1">
      <c r="A299" s="3">
        <v>297</v>
      </c>
      <c r="B299" s="8">
        <v>180066</v>
      </c>
      <c r="C299" s="9"/>
      <c r="D299" s="9" t="str">
        <f>"2018013927"</f>
        <v>2018013927</v>
      </c>
      <c r="E299" s="9">
        <v>71</v>
      </c>
      <c r="F299" s="9">
        <v>70</v>
      </c>
      <c r="G299" s="9">
        <f t="shared" si="18"/>
        <v>70.3</v>
      </c>
      <c r="H299" s="9"/>
      <c r="I299" s="4">
        <v>0</v>
      </c>
      <c r="J299" s="4">
        <f t="shared" si="20"/>
        <v>0</v>
      </c>
      <c r="K299" s="4">
        <f t="shared" si="17"/>
        <v>35.15</v>
      </c>
      <c r="L299" s="4"/>
    </row>
    <row r="300" spans="1:12" ht="20.25" customHeight="1">
      <c r="A300" s="3">
        <v>298</v>
      </c>
      <c r="B300" s="8">
        <v>180066</v>
      </c>
      <c r="C300" s="9"/>
      <c r="D300" s="9" t="str">
        <f>"2018013924"</f>
        <v>2018013924</v>
      </c>
      <c r="E300" s="9">
        <v>46.5</v>
      </c>
      <c r="F300" s="9">
        <v>80</v>
      </c>
      <c r="G300" s="9">
        <f t="shared" si="18"/>
        <v>69.95</v>
      </c>
      <c r="H300" s="9"/>
      <c r="I300" s="4">
        <v>0</v>
      </c>
      <c r="J300" s="4">
        <f t="shared" si="20"/>
        <v>0</v>
      </c>
      <c r="K300" s="4">
        <f t="shared" si="17"/>
        <v>34.98</v>
      </c>
      <c r="L300" s="4"/>
    </row>
    <row r="301" spans="1:12" ht="20.25" customHeight="1">
      <c r="A301" s="3">
        <v>299</v>
      </c>
      <c r="B301" s="8">
        <v>180069</v>
      </c>
      <c r="C301" s="9"/>
      <c r="D301" s="9" t="str">
        <f>"2018012909"</f>
        <v>2018012909</v>
      </c>
      <c r="E301" s="9">
        <v>45</v>
      </c>
      <c r="F301" s="9">
        <v>103</v>
      </c>
      <c r="G301" s="9">
        <f t="shared" si="18"/>
        <v>85.6</v>
      </c>
      <c r="H301" s="9" t="s">
        <v>21</v>
      </c>
      <c r="I301" s="4">
        <v>79.8</v>
      </c>
      <c r="J301" s="4">
        <f>ROUND(I301*74.85/71.05,2)</f>
        <v>84.07</v>
      </c>
      <c r="K301" s="4">
        <f t="shared" si="17"/>
        <v>76.43</v>
      </c>
      <c r="L301" s="15" t="s">
        <v>38</v>
      </c>
    </row>
    <row r="302" spans="1:12" ht="20.25" customHeight="1">
      <c r="A302" s="3">
        <v>300</v>
      </c>
      <c r="B302" s="8">
        <v>180069</v>
      </c>
      <c r="C302" s="9"/>
      <c r="D302" s="9" t="str">
        <f>"2018012513"</f>
        <v>2018012513</v>
      </c>
      <c r="E302" s="9">
        <v>45.5</v>
      </c>
      <c r="F302" s="9">
        <v>101</v>
      </c>
      <c r="G302" s="9">
        <f t="shared" si="18"/>
        <v>84.35</v>
      </c>
      <c r="H302" s="9" t="s">
        <v>21</v>
      </c>
      <c r="I302" s="4">
        <v>80.8</v>
      </c>
      <c r="J302" s="4">
        <f>ROUND(I302*74.85/71.05,2)</f>
        <v>85.12</v>
      </c>
      <c r="K302" s="4">
        <f t="shared" si="17"/>
        <v>76.22</v>
      </c>
      <c r="L302" s="16"/>
    </row>
    <row r="303" spans="1:12" ht="20.25" customHeight="1">
      <c r="A303" s="3">
        <v>301</v>
      </c>
      <c r="B303" s="8">
        <v>180069</v>
      </c>
      <c r="C303" s="9"/>
      <c r="D303" s="9" t="str">
        <f>"2018012517"</f>
        <v>2018012517</v>
      </c>
      <c r="E303" s="9">
        <v>40</v>
      </c>
      <c r="F303" s="9">
        <v>105</v>
      </c>
      <c r="G303" s="9">
        <f aca="true" t="shared" si="21" ref="G303:G334">E303*0.3+F303*0.7</f>
        <v>85.5</v>
      </c>
      <c r="H303" s="9" t="s">
        <v>25</v>
      </c>
      <c r="I303" s="4">
        <v>81.6</v>
      </c>
      <c r="J303" s="4">
        <f>ROUND(I303*74.85/74.11,2)</f>
        <v>82.41</v>
      </c>
      <c r="K303" s="4">
        <f t="shared" si="17"/>
        <v>75.71</v>
      </c>
      <c r="L303" s="16"/>
    </row>
    <row r="304" spans="1:12" ht="20.25" customHeight="1">
      <c r="A304" s="3">
        <v>302</v>
      </c>
      <c r="B304" s="8">
        <v>180069</v>
      </c>
      <c r="C304" s="9"/>
      <c r="D304" s="9" t="str">
        <f>"2018012611"</f>
        <v>2018012611</v>
      </c>
      <c r="E304" s="9">
        <v>59.5</v>
      </c>
      <c r="F304" s="9">
        <v>99</v>
      </c>
      <c r="G304" s="9">
        <f t="shared" si="21"/>
        <v>87.14999999999999</v>
      </c>
      <c r="H304" s="9" t="s">
        <v>25</v>
      </c>
      <c r="I304" s="4">
        <v>79.12</v>
      </c>
      <c r="J304" s="4">
        <f>ROUND(I304*74.85/74.11,2)</f>
        <v>79.91</v>
      </c>
      <c r="K304" s="4">
        <f t="shared" si="17"/>
        <v>75.54</v>
      </c>
      <c r="L304" s="16"/>
    </row>
    <row r="305" spans="1:12" ht="20.25" customHeight="1">
      <c r="A305" s="3">
        <v>303</v>
      </c>
      <c r="B305" s="8">
        <v>180069</v>
      </c>
      <c r="C305" s="9"/>
      <c r="D305" s="9" t="str">
        <f>"2018013205"</f>
        <v>2018013205</v>
      </c>
      <c r="E305" s="9">
        <v>52</v>
      </c>
      <c r="F305" s="9">
        <v>95</v>
      </c>
      <c r="G305" s="9">
        <f t="shared" si="21"/>
        <v>82.1</v>
      </c>
      <c r="H305" s="9" t="s">
        <v>21</v>
      </c>
      <c r="I305" s="4">
        <v>81.2</v>
      </c>
      <c r="J305" s="4">
        <f>ROUND(I305*74.85/71.05,2)</f>
        <v>85.54</v>
      </c>
      <c r="K305" s="4">
        <f t="shared" si="17"/>
        <v>75.27</v>
      </c>
      <c r="L305" s="16"/>
    </row>
    <row r="306" spans="1:12" ht="20.25" customHeight="1">
      <c r="A306" s="3">
        <v>304</v>
      </c>
      <c r="B306" s="8">
        <v>180069</v>
      </c>
      <c r="C306" s="9"/>
      <c r="D306" s="9" t="str">
        <f>"2018012530"</f>
        <v>2018012530</v>
      </c>
      <c r="E306" s="9">
        <v>43.5</v>
      </c>
      <c r="F306" s="9">
        <v>104</v>
      </c>
      <c r="G306" s="9">
        <f t="shared" si="21"/>
        <v>85.85</v>
      </c>
      <c r="H306" s="9" t="s">
        <v>22</v>
      </c>
      <c r="I306" s="4">
        <v>82.6</v>
      </c>
      <c r="J306" s="4">
        <f>ROUND(I306*74.85/76.58,2)</f>
        <v>80.73</v>
      </c>
      <c r="K306" s="4">
        <f t="shared" si="17"/>
        <v>75.22</v>
      </c>
      <c r="L306" s="16"/>
    </row>
    <row r="307" spans="1:12" ht="20.25" customHeight="1">
      <c r="A307" s="3">
        <v>305</v>
      </c>
      <c r="B307" s="8">
        <v>180069</v>
      </c>
      <c r="C307" s="9"/>
      <c r="D307" s="9" t="str">
        <f>"2018012622"</f>
        <v>2018012622</v>
      </c>
      <c r="E307" s="9">
        <v>60</v>
      </c>
      <c r="F307" s="9">
        <v>100</v>
      </c>
      <c r="G307" s="9">
        <f t="shared" si="21"/>
        <v>88</v>
      </c>
      <c r="H307" s="9" t="s">
        <v>21</v>
      </c>
      <c r="I307" s="4">
        <v>73.8</v>
      </c>
      <c r="J307" s="4">
        <f>ROUND(I307*74.85/71.05,2)</f>
        <v>77.75</v>
      </c>
      <c r="K307" s="4">
        <f t="shared" si="17"/>
        <v>75.1</v>
      </c>
      <c r="L307" s="16"/>
    </row>
    <row r="308" spans="1:12" ht="20.25" customHeight="1">
      <c r="A308" s="3">
        <v>306</v>
      </c>
      <c r="B308" s="8">
        <v>180069</v>
      </c>
      <c r="C308" s="9"/>
      <c r="D308" s="9" t="str">
        <f>"2018012925"</f>
        <v>2018012925</v>
      </c>
      <c r="E308" s="9">
        <v>57.5</v>
      </c>
      <c r="F308" s="9">
        <v>102</v>
      </c>
      <c r="G308" s="9">
        <f t="shared" si="21"/>
        <v>88.64999999999999</v>
      </c>
      <c r="H308" s="9" t="s">
        <v>22</v>
      </c>
      <c r="I308" s="4">
        <v>78.2</v>
      </c>
      <c r="J308" s="4">
        <f>ROUND(I308*74.85/76.58,2)</f>
        <v>76.43</v>
      </c>
      <c r="K308" s="4">
        <f t="shared" si="17"/>
        <v>74.9</v>
      </c>
      <c r="L308" s="16"/>
    </row>
    <row r="309" spans="1:12" ht="20.25" customHeight="1">
      <c r="A309" s="3">
        <v>307</v>
      </c>
      <c r="B309" s="8">
        <v>180069</v>
      </c>
      <c r="C309" s="9"/>
      <c r="D309" s="9" t="str">
        <f>"2018012429"</f>
        <v>2018012429</v>
      </c>
      <c r="E309" s="9">
        <v>44.5</v>
      </c>
      <c r="F309" s="9">
        <v>104</v>
      </c>
      <c r="G309" s="9">
        <f t="shared" si="21"/>
        <v>86.14999999999999</v>
      </c>
      <c r="H309" s="9" t="s">
        <v>21</v>
      </c>
      <c r="I309" s="4">
        <v>75.4</v>
      </c>
      <c r="J309" s="4">
        <f>ROUND(I309*74.85/71.05,2)</f>
        <v>79.43</v>
      </c>
      <c r="K309" s="4">
        <f t="shared" si="17"/>
        <v>74.85</v>
      </c>
      <c r="L309" s="16"/>
    </row>
    <row r="310" spans="1:12" ht="20.25" customHeight="1">
      <c r="A310" s="3">
        <v>308</v>
      </c>
      <c r="B310" s="8">
        <v>180069</v>
      </c>
      <c r="C310" s="9"/>
      <c r="D310" s="9" t="str">
        <f>"2018012920"</f>
        <v>2018012920</v>
      </c>
      <c r="E310" s="9">
        <v>63</v>
      </c>
      <c r="F310" s="9">
        <v>94</v>
      </c>
      <c r="G310" s="9">
        <f t="shared" si="21"/>
        <v>84.69999999999999</v>
      </c>
      <c r="H310" s="9" t="s">
        <v>24</v>
      </c>
      <c r="I310" s="4">
        <v>83.4</v>
      </c>
      <c r="J310" s="4">
        <f>ROUND(I310*74.85/77.67,2)</f>
        <v>80.37</v>
      </c>
      <c r="K310" s="4">
        <f t="shared" si="17"/>
        <v>74.5</v>
      </c>
      <c r="L310" s="16"/>
    </row>
    <row r="311" spans="1:12" ht="20.25" customHeight="1">
      <c r="A311" s="3">
        <v>309</v>
      </c>
      <c r="B311" s="8">
        <v>180069</v>
      </c>
      <c r="C311" s="9"/>
      <c r="D311" s="9" t="str">
        <f>"2018013014"</f>
        <v>2018013014</v>
      </c>
      <c r="E311" s="9">
        <v>53</v>
      </c>
      <c r="F311" s="9">
        <v>102</v>
      </c>
      <c r="G311" s="9">
        <f t="shared" si="21"/>
        <v>87.29999999999998</v>
      </c>
      <c r="H311" s="9" t="s">
        <v>24</v>
      </c>
      <c r="I311" s="4">
        <v>80</v>
      </c>
      <c r="J311" s="4">
        <f>ROUND(I311*74.85/77.67,2)</f>
        <v>77.1</v>
      </c>
      <c r="K311" s="4">
        <f t="shared" si="17"/>
        <v>74.49</v>
      </c>
      <c r="L311" s="16"/>
    </row>
    <row r="312" spans="1:12" ht="20.25" customHeight="1">
      <c r="A312" s="3">
        <v>310</v>
      </c>
      <c r="B312" s="8">
        <v>180069</v>
      </c>
      <c r="C312" s="9"/>
      <c r="D312" s="9" t="str">
        <f>"2018012807"</f>
        <v>2018012807</v>
      </c>
      <c r="E312" s="9">
        <v>60.5</v>
      </c>
      <c r="F312" s="9">
        <v>97</v>
      </c>
      <c r="G312" s="9">
        <f t="shared" si="21"/>
        <v>86.04999999999998</v>
      </c>
      <c r="H312" s="9" t="s">
        <v>25</v>
      </c>
      <c r="I312" s="4">
        <v>77.6</v>
      </c>
      <c r="J312" s="4">
        <f>ROUND(I312*74.85/74.11,2)</f>
        <v>78.37</v>
      </c>
      <c r="K312" s="4">
        <f t="shared" si="17"/>
        <v>74.37</v>
      </c>
      <c r="L312" s="16"/>
    </row>
    <row r="313" spans="1:12" ht="20.25" customHeight="1">
      <c r="A313" s="3">
        <v>311</v>
      </c>
      <c r="B313" s="8">
        <v>180069</v>
      </c>
      <c r="C313" s="9"/>
      <c r="D313" s="9" t="str">
        <f>"2018012507"</f>
        <v>2018012507</v>
      </c>
      <c r="E313" s="9">
        <v>54.5</v>
      </c>
      <c r="F313" s="9">
        <v>101</v>
      </c>
      <c r="G313" s="9">
        <f t="shared" si="21"/>
        <v>87.04999999999998</v>
      </c>
      <c r="H313" s="9" t="s">
        <v>25</v>
      </c>
      <c r="I313" s="4">
        <v>76.32</v>
      </c>
      <c r="J313" s="4">
        <f>ROUND(I313*74.85/74.11,2)</f>
        <v>77.08</v>
      </c>
      <c r="K313" s="4">
        <f t="shared" si="17"/>
        <v>74.36</v>
      </c>
      <c r="L313" s="16"/>
    </row>
    <row r="314" spans="1:12" ht="20.25" customHeight="1">
      <c r="A314" s="3">
        <v>312</v>
      </c>
      <c r="B314" s="8">
        <v>180069</v>
      </c>
      <c r="C314" s="9"/>
      <c r="D314" s="9" t="str">
        <f>"2018013123"</f>
        <v>2018013123</v>
      </c>
      <c r="E314" s="9">
        <v>41</v>
      </c>
      <c r="F314" s="9">
        <v>99</v>
      </c>
      <c r="G314" s="9">
        <f t="shared" si="21"/>
        <v>81.6</v>
      </c>
      <c r="H314" s="9" t="s">
        <v>21</v>
      </c>
      <c r="I314" s="4">
        <v>79.4</v>
      </c>
      <c r="J314" s="4">
        <f>ROUND(I314*74.85/71.05,2)</f>
        <v>83.65</v>
      </c>
      <c r="K314" s="4">
        <f t="shared" si="17"/>
        <v>74.26</v>
      </c>
      <c r="L314" s="16"/>
    </row>
    <row r="315" spans="1:12" ht="20.25" customHeight="1">
      <c r="A315" s="3">
        <v>313</v>
      </c>
      <c r="B315" s="8">
        <v>180069</v>
      </c>
      <c r="C315" s="9"/>
      <c r="D315" s="9" t="str">
        <f>"2018012519"</f>
        <v>2018012519</v>
      </c>
      <c r="E315" s="9">
        <v>44.5</v>
      </c>
      <c r="F315" s="9">
        <v>102</v>
      </c>
      <c r="G315" s="9">
        <f t="shared" si="21"/>
        <v>84.74999999999999</v>
      </c>
      <c r="H315" s="9" t="s">
        <v>25</v>
      </c>
      <c r="I315" s="4">
        <v>78.52</v>
      </c>
      <c r="J315" s="4">
        <f>ROUND(I315*74.85/74.11,2)</f>
        <v>79.3</v>
      </c>
      <c r="K315" s="4">
        <f t="shared" si="17"/>
        <v>74.1</v>
      </c>
      <c r="L315" s="16"/>
    </row>
    <row r="316" spans="1:12" ht="20.25" customHeight="1">
      <c r="A316" s="3">
        <v>314</v>
      </c>
      <c r="B316" s="8">
        <v>180069</v>
      </c>
      <c r="C316" s="9"/>
      <c r="D316" s="9" t="str">
        <f>"2018013222"</f>
        <v>2018013222</v>
      </c>
      <c r="E316" s="9">
        <v>49</v>
      </c>
      <c r="F316" s="9">
        <v>90</v>
      </c>
      <c r="G316" s="9">
        <f t="shared" si="21"/>
        <v>77.69999999999999</v>
      </c>
      <c r="H316" s="9" t="s">
        <v>21</v>
      </c>
      <c r="I316" s="4">
        <v>83.2</v>
      </c>
      <c r="J316" s="4">
        <f>ROUND(I316*74.85/71.05,2)</f>
        <v>87.65</v>
      </c>
      <c r="K316" s="4">
        <f t="shared" si="17"/>
        <v>73.91</v>
      </c>
      <c r="L316" s="16"/>
    </row>
    <row r="317" spans="1:12" ht="20.25" customHeight="1">
      <c r="A317" s="3">
        <v>315</v>
      </c>
      <c r="B317" s="8">
        <v>180069</v>
      </c>
      <c r="C317" s="9"/>
      <c r="D317" s="9" t="str">
        <f>"2018012618"</f>
        <v>2018012618</v>
      </c>
      <c r="E317" s="9">
        <v>53</v>
      </c>
      <c r="F317" s="9">
        <v>104</v>
      </c>
      <c r="G317" s="9">
        <f t="shared" si="21"/>
        <v>88.69999999999999</v>
      </c>
      <c r="H317" s="9" t="s">
        <v>22</v>
      </c>
      <c r="I317" s="4">
        <v>75.4</v>
      </c>
      <c r="J317" s="4">
        <f>ROUND(I317*74.85/76.58,2)</f>
        <v>73.7</v>
      </c>
      <c r="K317" s="4">
        <f t="shared" si="17"/>
        <v>73.83</v>
      </c>
      <c r="L317" s="16"/>
    </row>
    <row r="318" spans="1:12" ht="20.25" customHeight="1">
      <c r="A318" s="3">
        <v>316</v>
      </c>
      <c r="B318" s="8">
        <v>180069</v>
      </c>
      <c r="C318" s="9"/>
      <c r="D318" s="9" t="str">
        <f>"2018012416"</f>
        <v>2018012416</v>
      </c>
      <c r="E318" s="9">
        <v>50</v>
      </c>
      <c r="F318" s="9">
        <v>102</v>
      </c>
      <c r="G318" s="9">
        <f t="shared" si="21"/>
        <v>86.39999999999999</v>
      </c>
      <c r="H318" s="9" t="s">
        <v>22</v>
      </c>
      <c r="I318" s="4">
        <v>78.2</v>
      </c>
      <c r="J318" s="4">
        <f>ROUND(I318*74.85/76.58,2)</f>
        <v>76.43</v>
      </c>
      <c r="K318" s="4">
        <f t="shared" si="17"/>
        <v>73.77</v>
      </c>
      <c r="L318" s="16"/>
    </row>
    <row r="319" spans="1:12" ht="20.25" customHeight="1">
      <c r="A319" s="3">
        <v>317</v>
      </c>
      <c r="B319" s="8">
        <v>180069</v>
      </c>
      <c r="C319" s="9"/>
      <c r="D319" s="9" t="str">
        <f>"2018012804"</f>
        <v>2018012804</v>
      </c>
      <c r="E319" s="9">
        <v>44.5</v>
      </c>
      <c r="F319" s="9">
        <v>100</v>
      </c>
      <c r="G319" s="9">
        <f t="shared" si="21"/>
        <v>83.35</v>
      </c>
      <c r="H319" s="9" t="s">
        <v>24</v>
      </c>
      <c r="I319" s="4">
        <v>83.2</v>
      </c>
      <c r="J319" s="4">
        <f>ROUND(I319*74.85/77.67,2)</f>
        <v>80.18</v>
      </c>
      <c r="K319" s="4">
        <f t="shared" si="17"/>
        <v>73.75</v>
      </c>
      <c r="L319" s="16"/>
    </row>
    <row r="320" spans="1:12" ht="20.25" customHeight="1">
      <c r="A320" s="3">
        <v>318</v>
      </c>
      <c r="B320" s="8">
        <v>180069</v>
      </c>
      <c r="C320" s="9"/>
      <c r="D320" s="9" t="str">
        <f>"2018013118"</f>
        <v>2018013118</v>
      </c>
      <c r="E320" s="9">
        <v>55</v>
      </c>
      <c r="F320" s="9">
        <v>95</v>
      </c>
      <c r="G320" s="9">
        <f t="shared" si="21"/>
        <v>83</v>
      </c>
      <c r="H320" s="9" t="s">
        <v>22</v>
      </c>
      <c r="I320" s="4">
        <v>82.2</v>
      </c>
      <c r="J320" s="4">
        <f>ROUND(I320*74.85/76.58,2)</f>
        <v>80.34</v>
      </c>
      <c r="K320" s="4">
        <f t="shared" si="17"/>
        <v>73.64</v>
      </c>
      <c r="L320" s="16"/>
    </row>
    <row r="321" spans="1:12" ht="20.25" customHeight="1">
      <c r="A321" s="3">
        <v>319</v>
      </c>
      <c r="B321" s="8">
        <v>180069</v>
      </c>
      <c r="C321" s="9"/>
      <c r="D321" s="9" t="str">
        <f>"2018013018"</f>
        <v>2018013018</v>
      </c>
      <c r="E321" s="9">
        <v>29.5</v>
      </c>
      <c r="F321" s="9">
        <v>105</v>
      </c>
      <c r="G321" s="9">
        <f t="shared" si="21"/>
        <v>82.35</v>
      </c>
      <c r="H321" s="9" t="s">
        <v>21</v>
      </c>
      <c r="I321" s="4">
        <v>76.4</v>
      </c>
      <c r="J321" s="4">
        <f>ROUND(I321*74.85/71.05,2)</f>
        <v>80.49</v>
      </c>
      <c r="K321" s="4">
        <f t="shared" si="17"/>
        <v>73.37</v>
      </c>
      <c r="L321" s="16"/>
    </row>
    <row r="322" spans="1:12" ht="20.25" customHeight="1">
      <c r="A322" s="3">
        <v>320</v>
      </c>
      <c r="B322" s="8">
        <v>180069</v>
      </c>
      <c r="C322" s="9"/>
      <c r="D322" s="9" t="str">
        <f>"2018012923"</f>
        <v>2018012923</v>
      </c>
      <c r="E322" s="9">
        <v>51.5</v>
      </c>
      <c r="F322" s="9">
        <v>96</v>
      </c>
      <c r="G322" s="9">
        <f t="shared" si="21"/>
        <v>82.64999999999999</v>
      </c>
      <c r="H322" s="9" t="s">
        <v>22</v>
      </c>
      <c r="I322" s="4">
        <v>81.4</v>
      </c>
      <c r="J322" s="4">
        <f>ROUND(I322*74.85/76.58,2)</f>
        <v>79.56</v>
      </c>
      <c r="K322" s="4">
        <f t="shared" si="17"/>
        <v>73.15</v>
      </c>
      <c r="L322" s="16"/>
    </row>
    <row r="323" spans="1:12" ht="20.25" customHeight="1">
      <c r="A323" s="3">
        <v>321</v>
      </c>
      <c r="B323" s="8">
        <v>180069</v>
      </c>
      <c r="C323" s="9"/>
      <c r="D323" s="9" t="str">
        <f>"2018013126"</f>
        <v>2018013126</v>
      </c>
      <c r="E323" s="9">
        <v>36.5</v>
      </c>
      <c r="F323" s="9">
        <v>98</v>
      </c>
      <c r="G323" s="9">
        <f t="shared" si="21"/>
        <v>79.55</v>
      </c>
      <c r="H323" s="9" t="s">
        <v>22</v>
      </c>
      <c r="I323" s="4">
        <v>84.4</v>
      </c>
      <c r="J323" s="4">
        <f>ROUND(I323*74.85/76.58,2)</f>
        <v>82.49</v>
      </c>
      <c r="K323" s="4">
        <f t="shared" si="17"/>
        <v>72.77</v>
      </c>
      <c r="L323" s="16"/>
    </row>
    <row r="324" spans="1:12" ht="20.25" customHeight="1">
      <c r="A324" s="3">
        <v>322</v>
      </c>
      <c r="B324" s="8">
        <v>180069</v>
      </c>
      <c r="C324" s="9"/>
      <c r="D324" s="9" t="str">
        <f>"2018013227"</f>
        <v>2018013227</v>
      </c>
      <c r="E324" s="9">
        <v>44.5</v>
      </c>
      <c r="F324" s="9">
        <v>96</v>
      </c>
      <c r="G324" s="9">
        <f t="shared" si="21"/>
        <v>80.54999999999998</v>
      </c>
      <c r="H324" s="9" t="s">
        <v>25</v>
      </c>
      <c r="I324" s="4">
        <v>80.2</v>
      </c>
      <c r="J324" s="4">
        <f>ROUND(I324*74.85/74.11,2)</f>
        <v>81</v>
      </c>
      <c r="K324" s="4">
        <f aca="true" t="shared" si="22" ref="K324:K387">ROUND(G324/1.2*0.6+J324*0.4,2)</f>
        <v>72.68</v>
      </c>
      <c r="L324" s="16"/>
    </row>
    <row r="325" spans="1:12" ht="20.25" customHeight="1">
      <c r="A325" s="3">
        <v>323</v>
      </c>
      <c r="B325" s="8">
        <v>180069</v>
      </c>
      <c r="C325" s="9"/>
      <c r="D325" s="9" t="str">
        <f>"2018013125"</f>
        <v>2018013125</v>
      </c>
      <c r="E325" s="9">
        <v>55.5</v>
      </c>
      <c r="F325" s="9">
        <v>92</v>
      </c>
      <c r="G325" s="9">
        <f t="shared" si="21"/>
        <v>81.04999999999998</v>
      </c>
      <c r="H325" s="9" t="s">
        <v>21</v>
      </c>
      <c r="I325" s="4">
        <v>76.2</v>
      </c>
      <c r="J325" s="4">
        <f>ROUND(I325*74.85/71.05,2)</f>
        <v>80.28</v>
      </c>
      <c r="K325" s="4">
        <f t="shared" si="22"/>
        <v>72.64</v>
      </c>
      <c r="L325" s="16"/>
    </row>
    <row r="326" spans="1:12" ht="20.25" customHeight="1">
      <c r="A326" s="3">
        <v>324</v>
      </c>
      <c r="B326" s="8">
        <v>180069</v>
      </c>
      <c r="C326" s="9"/>
      <c r="D326" s="9" t="str">
        <f>"2018012510"</f>
        <v>2018012510</v>
      </c>
      <c r="E326" s="9">
        <v>55.5</v>
      </c>
      <c r="F326" s="9">
        <v>94</v>
      </c>
      <c r="G326" s="9">
        <f t="shared" si="21"/>
        <v>82.44999999999999</v>
      </c>
      <c r="H326" s="9" t="s">
        <v>24</v>
      </c>
      <c r="I326" s="4">
        <v>81.1</v>
      </c>
      <c r="J326" s="4">
        <f>ROUND(I326*74.85/77.67,2)</f>
        <v>78.16</v>
      </c>
      <c r="K326" s="4">
        <f t="shared" si="22"/>
        <v>72.49</v>
      </c>
      <c r="L326" s="16"/>
    </row>
    <row r="327" spans="1:12" ht="20.25" customHeight="1">
      <c r="A327" s="3">
        <v>325</v>
      </c>
      <c r="B327" s="8">
        <v>180069</v>
      </c>
      <c r="C327" s="9"/>
      <c r="D327" s="9" t="str">
        <f>"2018012521"</f>
        <v>2018012521</v>
      </c>
      <c r="E327" s="9">
        <v>44</v>
      </c>
      <c r="F327" s="9">
        <v>103</v>
      </c>
      <c r="G327" s="9">
        <f t="shared" si="21"/>
        <v>85.3</v>
      </c>
      <c r="H327" s="9" t="s">
        <v>21</v>
      </c>
      <c r="I327" s="4">
        <v>70.6</v>
      </c>
      <c r="J327" s="4">
        <f>ROUND(I327*74.85/71.05,2)</f>
        <v>74.38</v>
      </c>
      <c r="K327" s="4">
        <f t="shared" si="22"/>
        <v>72.4</v>
      </c>
      <c r="L327" s="16"/>
    </row>
    <row r="328" spans="1:12" ht="20.25" customHeight="1">
      <c r="A328" s="3">
        <v>326</v>
      </c>
      <c r="B328" s="8">
        <v>180069</v>
      </c>
      <c r="C328" s="9"/>
      <c r="D328" s="9" t="str">
        <f>"2018013218"</f>
        <v>2018013218</v>
      </c>
      <c r="E328" s="9">
        <v>47.5</v>
      </c>
      <c r="F328" s="9">
        <v>97</v>
      </c>
      <c r="G328" s="9">
        <f t="shared" si="21"/>
        <v>82.14999999999999</v>
      </c>
      <c r="H328" s="9" t="s">
        <v>24</v>
      </c>
      <c r="I328" s="4">
        <v>81</v>
      </c>
      <c r="J328" s="4">
        <f>ROUND(I328*74.85/77.67,2)</f>
        <v>78.06</v>
      </c>
      <c r="K328" s="4">
        <f t="shared" si="22"/>
        <v>72.3</v>
      </c>
      <c r="L328" s="16"/>
    </row>
    <row r="329" spans="1:12" ht="20.25" customHeight="1">
      <c r="A329" s="3">
        <v>327</v>
      </c>
      <c r="B329" s="8">
        <v>180069</v>
      </c>
      <c r="C329" s="9"/>
      <c r="D329" s="9" t="str">
        <f>"2018013026"</f>
        <v>2018013026</v>
      </c>
      <c r="E329" s="9">
        <v>48</v>
      </c>
      <c r="F329" s="9">
        <v>97</v>
      </c>
      <c r="G329" s="9">
        <f t="shared" si="21"/>
        <v>82.29999999999998</v>
      </c>
      <c r="H329" s="9" t="s">
        <v>22</v>
      </c>
      <c r="I329" s="4">
        <v>79.6</v>
      </c>
      <c r="J329" s="4">
        <f>ROUND(I329*74.85/76.58,2)</f>
        <v>77.8</v>
      </c>
      <c r="K329" s="4">
        <f t="shared" si="22"/>
        <v>72.27</v>
      </c>
      <c r="L329" s="16"/>
    </row>
    <row r="330" spans="1:12" ht="20.25" customHeight="1">
      <c r="A330" s="3">
        <v>328</v>
      </c>
      <c r="B330" s="8">
        <v>180069</v>
      </c>
      <c r="C330" s="9"/>
      <c r="D330" s="9" t="str">
        <f>"2018012425"</f>
        <v>2018012425</v>
      </c>
      <c r="E330" s="9">
        <v>39</v>
      </c>
      <c r="F330" s="9">
        <v>98</v>
      </c>
      <c r="G330" s="9">
        <f t="shared" si="21"/>
        <v>80.3</v>
      </c>
      <c r="H330" s="9" t="s">
        <v>25</v>
      </c>
      <c r="I330" s="4">
        <v>79.4</v>
      </c>
      <c r="J330" s="4">
        <f>ROUND(I330*74.85/74.11,2)</f>
        <v>80.19</v>
      </c>
      <c r="K330" s="4">
        <f t="shared" si="22"/>
        <v>72.23</v>
      </c>
      <c r="L330" s="16"/>
    </row>
    <row r="331" spans="1:12" ht="20.25" customHeight="1">
      <c r="A331" s="3">
        <v>329</v>
      </c>
      <c r="B331" s="8">
        <v>180069</v>
      </c>
      <c r="C331" s="9"/>
      <c r="D331" s="9" t="str">
        <f>"2018012809"</f>
        <v>2018012809</v>
      </c>
      <c r="E331" s="9">
        <v>60</v>
      </c>
      <c r="F331" s="9">
        <v>90</v>
      </c>
      <c r="G331" s="9">
        <f t="shared" si="21"/>
        <v>81</v>
      </c>
      <c r="H331" s="9" t="s">
        <v>24</v>
      </c>
      <c r="I331" s="4">
        <v>81.6</v>
      </c>
      <c r="J331" s="4">
        <f>ROUND(I331*74.85/77.67,2)</f>
        <v>78.64</v>
      </c>
      <c r="K331" s="4">
        <f t="shared" si="22"/>
        <v>71.96</v>
      </c>
      <c r="L331" s="16"/>
    </row>
    <row r="332" spans="1:12" ht="20.25" customHeight="1">
      <c r="A332" s="3">
        <v>330</v>
      </c>
      <c r="B332" s="8">
        <v>180069</v>
      </c>
      <c r="C332" s="9"/>
      <c r="D332" s="9" t="str">
        <f>"2018012722"</f>
        <v>2018012722</v>
      </c>
      <c r="E332" s="9">
        <v>52.5</v>
      </c>
      <c r="F332" s="9">
        <v>93</v>
      </c>
      <c r="G332" s="9">
        <f t="shared" si="21"/>
        <v>80.85</v>
      </c>
      <c r="H332" s="9" t="s">
        <v>21</v>
      </c>
      <c r="I332" s="4">
        <v>74.4</v>
      </c>
      <c r="J332" s="4">
        <f>ROUND(I332*74.85/71.05,2)</f>
        <v>78.38</v>
      </c>
      <c r="K332" s="4">
        <f t="shared" si="22"/>
        <v>71.78</v>
      </c>
      <c r="L332" s="16"/>
    </row>
    <row r="333" spans="1:12" ht="20.25" customHeight="1">
      <c r="A333" s="3">
        <v>331</v>
      </c>
      <c r="B333" s="8">
        <v>180069</v>
      </c>
      <c r="C333" s="9"/>
      <c r="D333" s="9" t="str">
        <f>"2018012605"</f>
        <v>2018012605</v>
      </c>
      <c r="E333" s="9">
        <v>52.5</v>
      </c>
      <c r="F333" s="9">
        <v>96</v>
      </c>
      <c r="G333" s="9">
        <f t="shared" si="21"/>
        <v>82.94999999999999</v>
      </c>
      <c r="H333" s="9" t="s">
        <v>25</v>
      </c>
      <c r="I333" s="4">
        <v>74.8</v>
      </c>
      <c r="J333" s="4">
        <f>ROUND(I333*74.85/74.11,2)</f>
        <v>75.55</v>
      </c>
      <c r="K333" s="4">
        <f t="shared" si="22"/>
        <v>71.7</v>
      </c>
      <c r="L333" s="16"/>
    </row>
    <row r="334" spans="1:12" ht="20.25" customHeight="1">
      <c r="A334" s="3">
        <v>332</v>
      </c>
      <c r="B334" s="8">
        <v>180069</v>
      </c>
      <c r="C334" s="9"/>
      <c r="D334" s="9" t="str">
        <f>"2018012614"</f>
        <v>2018012614</v>
      </c>
      <c r="E334" s="9">
        <v>50.5</v>
      </c>
      <c r="F334" s="9">
        <v>90</v>
      </c>
      <c r="G334" s="9">
        <f t="shared" si="21"/>
        <v>78.14999999999999</v>
      </c>
      <c r="H334" s="9" t="s">
        <v>21</v>
      </c>
      <c r="I334" s="4">
        <v>77.4</v>
      </c>
      <c r="J334" s="4">
        <f>ROUND(I334*74.85/71.05,2)</f>
        <v>81.54</v>
      </c>
      <c r="K334" s="4">
        <f t="shared" si="22"/>
        <v>71.69</v>
      </c>
      <c r="L334" s="16"/>
    </row>
    <row r="335" spans="1:12" ht="20.25" customHeight="1">
      <c r="A335" s="3">
        <v>333</v>
      </c>
      <c r="B335" s="8">
        <v>180069</v>
      </c>
      <c r="C335" s="9"/>
      <c r="D335" s="9" t="str">
        <f>"2018012801"</f>
        <v>2018012801</v>
      </c>
      <c r="E335" s="9">
        <v>54</v>
      </c>
      <c r="F335" s="9">
        <v>91</v>
      </c>
      <c r="G335" s="9">
        <f aca="true" t="shared" si="23" ref="G335:G366">E335*0.3+F335*0.7</f>
        <v>79.89999999999999</v>
      </c>
      <c r="H335" s="9" t="s">
        <v>21</v>
      </c>
      <c r="I335" s="4">
        <v>74.8</v>
      </c>
      <c r="J335" s="4">
        <f>ROUND(I335*74.85/71.05,2)</f>
        <v>78.8</v>
      </c>
      <c r="K335" s="4">
        <f t="shared" si="22"/>
        <v>71.47</v>
      </c>
      <c r="L335" s="16"/>
    </row>
    <row r="336" spans="1:12" ht="20.25" customHeight="1">
      <c r="A336" s="3">
        <v>334</v>
      </c>
      <c r="B336" s="8">
        <v>180069</v>
      </c>
      <c r="C336" s="9"/>
      <c r="D336" s="9" t="str">
        <f>"2018012627"</f>
        <v>2018012627</v>
      </c>
      <c r="E336" s="9">
        <v>42</v>
      </c>
      <c r="F336" s="9">
        <v>97</v>
      </c>
      <c r="G336" s="9">
        <f t="shared" si="23"/>
        <v>80.49999999999999</v>
      </c>
      <c r="H336" s="9" t="s">
        <v>24</v>
      </c>
      <c r="I336" s="4">
        <v>80.8</v>
      </c>
      <c r="J336" s="4">
        <f>ROUND(I336*74.85/77.67,2)</f>
        <v>77.87</v>
      </c>
      <c r="K336" s="4">
        <f t="shared" si="22"/>
        <v>71.4</v>
      </c>
      <c r="L336" s="16"/>
    </row>
    <row r="337" spans="1:12" ht="20.25" customHeight="1">
      <c r="A337" s="3">
        <v>335</v>
      </c>
      <c r="B337" s="8">
        <v>180069</v>
      </c>
      <c r="C337" s="9"/>
      <c r="D337" s="9" t="str">
        <f>"2018013114"</f>
        <v>2018013114</v>
      </c>
      <c r="E337" s="9">
        <v>35.5</v>
      </c>
      <c r="F337" s="9">
        <v>99</v>
      </c>
      <c r="G337" s="9">
        <f t="shared" si="23"/>
        <v>79.95</v>
      </c>
      <c r="H337" s="9" t="s">
        <v>24</v>
      </c>
      <c r="I337" s="4">
        <v>80.7</v>
      </c>
      <c r="J337" s="4">
        <f>ROUND(I337*74.85/77.67,2)</f>
        <v>77.77</v>
      </c>
      <c r="K337" s="4">
        <f t="shared" si="22"/>
        <v>71.08</v>
      </c>
      <c r="L337" s="16"/>
    </row>
    <row r="338" spans="1:12" ht="20.25" customHeight="1">
      <c r="A338" s="3">
        <v>336</v>
      </c>
      <c r="B338" s="8">
        <v>180069</v>
      </c>
      <c r="C338" s="9"/>
      <c r="D338" s="9" t="str">
        <f>"2018012612"</f>
        <v>2018012612</v>
      </c>
      <c r="E338" s="9">
        <v>51</v>
      </c>
      <c r="F338" s="9">
        <v>94</v>
      </c>
      <c r="G338" s="9">
        <f t="shared" si="23"/>
        <v>81.1</v>
      </c>
      <c r="H338" s="9" t="s">
        <v>25</v>
      </c>
      <c r="I338" s="4">
        <v>75.4</v>
      </c>
      <c r="J338" s="4">
        <f>ROUND(I338*74.85/74.11,2)</f>
        <v>76.15</v>
      </c>
      <c r="K338" s="4">
        <f t="shared" si="22"/>
        <v>71.01</v>
      </c>
      <c r="L338" s="16"/>
    </row>
    <row r="339" spans="1:12" ht="20.25" customHeight="1">
      <c r="A339" s="3">
        <v>337</v>
      </c>
      <c r="B339" s="8">
        <v>180069</v>
      </c>
      <c r="C339" s="9"/>
      <c r="D339" s="9" t="str">
        <f>"2018012522"</f>
        <v>2018012522</v>
      </c>
      <c r="E339" s="9">
        <v>29.5</v>
      </c>
      <c r="F339" s="9">
        <v>102</v>
      </c>
      <c r="G339" s="9">
        <f t="shared" si="23"/>
        <v>80.24999999999999</v>
      </c>
      <c r="H339" s="9" t="s">
        <v>25</v>
      </c>
      <c r="I339" s="4">
        <v>76.4</v>
      </c>
      <c r="J339" s="4">
        <f>ROUND(I339*74.85/74.11,2)</f>
        <v>77.16</v>
      </c>
      <c r="K339" s="4">
        <f t="shared" si="22"/>
        <v>70.99</v>
      </c>
      <c r="L339" s="16"/>
    </row>
    <row r="340" spans="1:12" ht="20.25" customHeight="1">
      <c r="A340" s="3">
        <v>338</v>
      </c>
      <c r="B340" s="8">
        <v>180069</v>
      </c>
      <c r="C340" s="9"/>
      <c r="D340" s="9" t="str">
        <f>"2018012508"</f>
        <v>2018012508</v>
      </c>
      <c r="E340" s="9">
        <v>50</v>
      </c>
      <c r="F340" s="9">
        <v>92</v>
      </c>
      <c r="G340" s="9">
        <f t="shared" si="23"/>
        <v>79.39999999999999</v>
      </c>
      <c r="H340" s="9" t="s">
        <v>22</v>
      </c>
      <c r="I340" s="4">
        <v>80</v>
      </c>
      <c r="J340" s="4">
        <f>ROUND(I340*74.85/76.58,2)</f>
        <v>78.19</v>
      </c>
      <c r="K340" s="4">
        <f t="shared" si="22"/>
        <v>70.98</v>
      </c>
      <c r="L340" s="16"/>
    </row>
    <row r="341" spans="1:12" ht="20.25" customHeight="1">
      <c r="A341" s="3">
        <v>339</v>
      </c>
      <c r="B341" s="8">
        <v>180069</v>
      </c>
      <c r="C341" s="9"/>
      <c r="D341" s="9" t="str">
        <f>"2018012908"</f>
        <v>2018012908</v>
      </c>
      <c r="E341" s="9">
        <v>47</v>
      </c>
      <c r="F341" s="9">
        <v>89</v>
      </c>
      <c r="G341" s="9">
        <f t="shared" si="23"/>
        <v>76.39999999999999</v>
      </c>
      <c r="H341" s="9" t="s">
        <v>22</v>
      </c>
      <c r="I341" s="4">
        <v>83.8</v>
      </c>
      <c r="J341" s="4">
        <f>ROUND(I341*74.85/76.58,2)</f>
        <v>81.91</v>
      </c>
      <c r="K341" s="4">
        <f t="shared" si="22"/>
        <v>70.96</v>
      </c>
      <c r="L341" s="16"/>
    </row>
    <row r="342" spans="1:12" ht="20.25" customHeight="1">
      <c r="A342" s="3">
        <v>340</v>
      </c>
      <c r="B342" s="8">
        <v>180069</v>
      </c>
      <c r="C342" s="9"/>
      <c r="D342" s="9" t="str">
        <f>"2018013122"</f>
        <v>2018013122</v>
      </c>
      <c r="E342" s="9">
        <v>36.5</v>
      </c>
      <c r="F342" s="9">
        <v>100</v>
      </c>
      <c r="G342" s="9">
        <f t="shared" si="23"/>
        <v>80.95</v>
      </c>
      <c r="H342" s="9" t="s">
        <v>25</v>
      </c>
      <c r="I342" s="4">
        <v>75.2</v>
      </c>
      <c r="J342" s="4">
        <f>ROUND(I342*74.85/74.11,2)</f>
        <v>75.95</v>
      </c>
      <c r="K342" s="4">
        <f t="shared" si="22"/>
        <v>70.86</v>
      </c>
      <c r="L342" s="16"/>
    </row>
    <row r="343" spans="1:12" ht="20.25" customHeight="1">
      <c r="A343" s="3">
        <v>341</v>
      </c>
      <c r="B343" s="8">
        <v>180069</v>
      </c>
      <c r="C343" s="9"/>
      <c r="D343" s="9" t="str">
        <f>"2018012412"</f>
        <v>2018012412</v>
      </c>
      <c r="E343" s="9">
        <v>34.5</v>
      </c>
      <c r="F343" s="9">
        <v>104</v>
      </c>
      <c r="G343" s="9">
        <f t="shared" si="23"/>
        <v>83.14999999999999</v>
      </c>
      <c r="H343" s="9" t="s">
        <v>22</v>
      </c>
      <c r="I343" s="4">
        <v>74.6</v>
      </c>
      <c r="J343" s="4">
        <f>ROUND(I343*74.85/76.58,2)</f>
        <v>72.91</v>
      </c>
      <c r="K343" s="4">
        <f t="shared" si="22"/>
        <v>70.74</v>
      </c>
      <c r="L343" s="16"/>
    </row>
    <row r="344" spans="1:12" ht="20.25" customHeight="1">
      <c r="A344" s="3">
        <v>342</v>
      </c>
      <c r="B344" s="8">
        <v>180069</v>
      </c>
      <c r="C344" s="9"/>
      <c r="D344" s="9" t="str">
        <f>"2018012528"</f>
        <v>2018012528</v>
      </c>
      <c r="E344" s="9">
        <v>42</v>
      </c>
      <c r="F344" s="9">
        <v>99</v>
      </c>
      <c r="G344" s="9">
        <f t="shared" si="23"/>
        <v>81.89999999999999</v>
      </c>
      <c r="H344" s="9" t="s">
        <v>22</v>
      </c>
      <c r="I344" s="4">
        <v>75.8</v>
      </c>
      <c r="J344" s="4">
        <f>ROUND(I344*74.85/76.58,2)</f>
        <v>74.09</v>
      </c>
      <c r="K344" s="4">
        <f t="shared" si="22"/>
        <v>70.59</v>
      </c>
      <c r="L344" s="16"/>
    </row>
    <row r="345" spans="1:12" ht="20.25" customHeight="1">
      <c r="A345" s="3">
        <v>343</v>
      </c>
      <c r="B345" s="8">
        <v>180069</v>
      </c>
      <c r="C345" s="9"/>
      <c r="D345" s="9" t="str">
        <f>"2018013120"</f>
        <v>2018013120</v>
      </c>
      <c r="E345" s="9">
        <v>39</v>
      </c>
      <c r="F345" s="9">
        <v>102</v>
      </c>
      <c r="G345" s="9">
        <f t="shared" si="23"/>
        <v>83.1</v>
      </c>
      <c r="H345" s="9" t="s">
        <v>24</v>
      </c>
      <c r="I345" s="4">
        <v>75.2</v>
      </c>
      <c r="J345" s="4">
        <f>ROUND(I345*74.85/77.67,2)</f>
        <v>72.47</v>
      </c>
      <c r="K345" s="4">
        <f t="shared" si="22"/>
        <v>70.54</v>
      </c>
      <c r="L345" s="16"/>
    </row>
    <row r="346" spans="1:12" ht="20.25" customHeight="1">
      <c r="A346" s="3">
        <v>344</v>
      </c>
      <c r="B346" s="8">
        <v>180069</v>
      </c>
      <c r="C346" s="9"/>
      <c r="D346" s="9" t="str">
        <f>"2018012903"</f>
        <v>2018012903</v>
      </c>
      <c r="E346" s="9">
        <v>47</v>
      </c>
      <c r="F346" s="9">
        <v>96</v>
      </c>
      <c r="G346" s="9">
        <f t="shared" si="23"/>
        <v>81.29999999999998</v>
      </c>
      <c r="H346" s="9" t="s">
        <v>22</v>
      </c>
      <c r="I346" s="4">
        <v>76.2</v>
      </c>
      <c r="J346" s="4">
        <f>ROUND(I346*74.85/76.58,2)</f>
        <v>74.48</v>
      </c>
      <c r="K346" s="4">
        <f t="shared" si="22"/>
        <v>70.44</v>
      </c>
      <c r="L346" s="16"/>
    </row>
    <row r="347" spans="1:12" ht="20.25" customHeight="1">
      <c r="A347" s="3">
        <v>345</v>
      </c>
      <c r="B347" s="8">
        <v>180069</v>
      </c>
      <c r="C347" s="9"/>
      <c r="D347" s="9" t="str">
        <f>"2018012525"</f>
        <v>2018012525</v>
      </c>
      <c r="E347" s="9">
        <v>40</v>
      </c>
      <c r="F347" s="9">
        <v>97</v>
      </c>
      <c r="G347" s="9">
        <f t="shared" si="23"/>
        <v>79.89999999999999</v>
      </c>
      <c r="H347" s="9" t="s">
        <v>24</v>
      </c>
      <c r="I347" s="4">
        <v>78.7</v>
      </c>
      <c r="J347" s="4">
        <f>ROUND(I347*74.85/77.67,2)</f>
        <v>75.84</v>
      </c>
      <c r="K347" s="4">
        <f t="shared" si="22"/>
        <v>70.29</v>
      </c>
      <c r="L347" s="16"/>
    </row>
    <row r="348" spans="1:12" ht="20.25" customHeight="1">
      <c r="A348" s="3">
        <v>346</v>
      </c>
      <c r="B348" s="8">
        <v>180069</v>
      </c>
      <c r="C348" s="9"/>
      <c r="D348" s="9" t="str">
        <f>"2018012820"</f>
        <v>2018012820</v>
      </c>
      <c r="E348" s="9">
        <v>58</v>
      </c>
      <c r="F348" s="9">
        <v>88</v>
      </c>
      <c r="G348" s="9">
        <f t="shared" si="23"/>
        <v>79</v>
      </c>
      <c r="H348" s="9" t="s">
        <v>22</v>
      </c>
      <c r="I348" s="4">
        <v>78.6</v>
      </c>
      <c r="J348" s="4">
        <f>ROUND(I348*74.85/76.58,2)</f>
        <v>76.82</v>
      </c>
      <c r="K348" s="4">
        <f t="shared" si="22"/>
        <v>70.23</v>
      </c>
      <c r="L348" s="16"/>
    </row>
    <row r="349" spans="1:12" ht="20.25" customHeight="1">
      <c r="A349" s="3">
        <v>347</v>
      </c>
      <c r="B349" s="8">
        <v>180069</v>
      </c>
      <c r="C349" s="9"/>
      <c r="D349" s="9" t="str">
        <f>"2018013206"</f>
        <v>2018013206</v>
      </c>
      <c r="E349" s="9">
        <v>37</v>
      </c>
      <c r="F349" s="9">
        <v>90</v>
      </c>
      <c r="G349" s="9">
        <f t="shared" si="23"/>
        <v>74.1</v>
      </c>
      <c r="H349" s="9" t="s">
        <v>24</v>
      </c>
      <c r="I349" s="4">
        <v>85.5</v>
      </c>
      <c r="J349" s="4">
        <f>ROUND(I349*74.85/77.67,2)</f>
        <v>82.4</v>
      </c>
      <c r="K349" s="4">
        <f t="shared" si="22"/>
        <v>70.01</v>
      </c>
      <c r="L349" s="16"/>
    </row>
    <row r="350" spans="1:12" ht="20.25" customHeight="1">
      <c r="A350" s="3">
        <v>348</v>
      </c>
      <c r="B350" s="8">
        <v>180069</v>
      </c>
      <c r="C350" s="9"/>
      <c r="D350" s="9" t="str">
        <f>"2018013021"</f>
        <v>2018013021</v>
      </c>
      <c r="E350" s="9">
        <v>35.5</v>
      </c>
      <c r="F350" s="9">
        <v>97</v>
      </c>
      <c r="G350" s="9">
        <f t="shared" si="23"/>
        <v>78.55</v>
      </c>
      <c r="H350" s="9" t="s">
        <v>22</v>
      </c>
      <c r="I350" s="4">
        <v>78.6</v>
      </c>
      <c r="J350" s="4">
        <f>ROUND(I350*74.85/76.58,2)</f>
        <v>76.82</v>
      </c>
      <c r="K350" s="4">
        <f t="shared" si="22"/>
        <v>70</v>
      </c>
      <c r="L350" s="16"/>
    </row>
    <row r="351" spans="1:12" ht="20.25" customHeight="1">
      <c r="A351" s="3">
        <v>349</v>
      </c>
      <c r="B351" s="8">
        <v>180069</v>
      </c>
      <c r="C351" s="9"/>
      <c r="D351" s="9" t="str">
        <f>"2018013113"</f>
        <v>2018013113</v>
      </c>
      <c r="E351" s="9">
        <v>58</v>
      </c>
      <c r="F351" s="9">
        <v>90</v>
      </c>
      <c r="G351" s="9">
        <f t="shared" si="23"/>
        <v>80.39999999999999</v>
      </c>
      <c r="H351" s="9" t="s">
        <v>24</v>
      </c>
      <c r="I351" s="4">
        <v>76.8</v>
      </c>
      <c r="J351" s="4">
        <f>ROUND(I351*74.85/77.67,2)</f>
        <v>74.01</v>
      </c>
      <c r="K351" s="4">
        <f t="shared" si="22"/>
        <v>69.8</v>
      </c>
      <c r="L351" s="16"/>
    </row>
    <row r="352" spans="1:12" ht="20.25" customHeight="1">
      <c r="A352" s="3">
        <v>350</v>
      </c>
      <c r="B352" s="8">
        <v>180069</v>
      </c>
      <c r="C352" s="9"/>
      <c r="D352" s="9" t="str">
        <f>"2018012729"</f>
        <v>2018012729</v>
      </c>
      <c r="E352" s="9">
        <v>52</v>
      </c>
      <c r="F352" s="9">
        <v>100</v>
      </c>
      <c r="G352" s="9">
        <f t="shared" si="23"/>
        <v>85.6</v>
      </c>
      <c r="H352" s="9" t="s">
        <v>21</v>
      </c>
      <c r="I352" s="4">
        <v>63.9</v>
      </c>
      <c r="J352" s="4">
        <f>ROUND(I352*74.85/71.05,2)</f>
        <v>67.32</v>
      </c>
      <c r="K352" s="4">
        <f t="shared" si="22"/>
        <v>69.73</v>
      </c>
      <c r="L352" s="16"/>
    </row>
    <row r="353" spans="1:12" ht="20.25" customHeight="1">
      <c r="A353" s="3">
        <v>351</v>
      </c>
      <c r="B353" s="8">
        <v>180069</v>
      </c>
      <c r="C353" s="9"/>
      <c r="D353" s="9" t="str">
        <f>"2018012414"</f>
        <v>2018012414</v>
      </c>
      <c r="E353" s="9">
        <v>52.5</v>
      </c>
      <c r="F353" s="9">
        <v>92</v>
      </c>
      <c r="G353" s="9">
        <f t="shared" si="23"/>
        <v>80.14999999999999</v>
      </c>
      <c r="H353" s="9" t="s">
        <v>25</v>
      </c>
      <c r="I353" s="4">
        <v>73.4</v>
      </c>
      <c r="J353" s="4">
        <f>ROUND(I353*74.85/74.11,2)</f>
        <v>74.13</v>
      </c>
      <c r="K353" s="4">
        <f t="shared" si="22"/>
        <v>69.73</v>
      </c>
      <c r="L353" s="16"/>
    </row>
    <row r="354" spans="1:12" ht="20.25" customHeight="1">
      <c r="A354" s="3">
        <v>352</v>
      </c>
      <c r="B354" s="8">
        <v>180069</v>
      </c>
      <c r="C354" s="9"/>
      <c r="D354" s="9" t="str">
        <f>"2018012607"</f>
        <v>2018012607</v>
      </c>
      <c r="E354" s="9">
        <v>41</v>
      </c>
      <c r="F354" s="9">
        <v>102</v>
      </c>
      <c r="G354" s="9">
        <f t="shared" si="23"/>
        <v>83.69999999999999</v>
      </c>
      <c r="H354" s="9" t="s">
        <v>24</v>
      </c>
      <c r="I354" s="4">
        <v>72.2</v>
      </c>
      <c r="J354" s="4">
        <f>ROUND(I354*74.85/77.67,2)</f>
        <v>69.58</v>
      </c>
      <c r="K354" s="4">
        <f t="shared" si="22"/>
        <v>69.68</v>
      </c>
      <c r="L354" s="16"/>
    </row>
    <row r="355" spans="1:12" ht="20.25" customHeight="1">
      <c r="A355" s="3">
        <v>353</v>
      </c>
      <c r="B355" s="8">
        <v>180069</v>
      </c>
      <c r="C355" s="9"/>
      <c r="D355" s="9" t="str">
        <f>"2018012817"</f>
        <v>2018012817</v>
      </c>
      <c r="E355" s="9">
        <v>39.5</v>
      </c>
      <c r="F355" s="9">
        <v>94</v>
      </c>
      <c r="G355" s="9">
        <f t="shared" si="23"/>
        <v>77.64999999999999</v>
      </c>
      <c r="H355" s="9" t="s">
        <v>21</v>
      </c>
      <c r="I355" s="4">
        <v>73</v>
      </c>
      <c r="J355" s="4">
        <f>ROUND(I355*74.85/71.05,2)</f>
        <v>76.9</v>
      </c>
      <c r="K355" s="4">
        <f t="shared" si="22"/>
        <v>69.59</v>
      </c>
      <c r="L355" s="16"/>
    </row>
    <row r="356" spans="1:12" ht="20.25" customHeight="1">
      <c r="A356" s="3">
        <v>354</v>
      </c>
      <c r="B356" s="8">
        <v>180069</v>
      </c>
      <c r="C356" s="9"/>
      <c r="D356" s="9" t="str">
        <f>"2018012808"</f>
        <v>2018012808</v>
      </c>
      <c r="E356" s="9">
        <v>30</v>
      </c>
      <c r="F356" s="9">
        <v>94</v>
      </c>
      <c r="G356" s="9">
        <f t="shared" si="23"/>
        <v>74.8</v>
      </c>
      <c r="H356" s="9" t="s">
        <v>24</v>
      </c>
      <c r="I356" s="4">
        <v>83.2</v>
      </c>
      <c r="J356" s="4">
        <f>ROUND(I356*74.85/77.67,2)</f>
        <v>80.18</v>
      </c>
      <c r="K356" s="4">
        <f t="shared" si="22"/>
        <v>69.47</v>
      </c>
      <c r="L356" s="16"/>
    </row>
    <row r="357" spans="1:12" ht="20.25" customHeight="1">
      <c r="A357" s="3">
        <v>355</v>
      </c>
      <c r="B357" s="8">
        <v>180069</v>
      </c>
      <c r="C357" s="9"/>
      <c r="D357" s="9" t="str">
        <f>"2018012902"</f>
        <v>2018012902</v>
      </c>
      <c r="E357" s="9">
        <v>41</v>
      </c>
      <c r="F357" s="9">
        <v>91</v>
      </c>
      <c r="G357" s="9">
        <f t="shared" si="23"/>
        <v>76</v>
      </c>
      <c r="H357" s="9" t="s">
        <v>22</v>
      </c>
      <c r="I357" s="4">
        <v>80.4</v>
      </c>
      <c r="J357" s="4">
        <f>ROUND(I357*74.85/76.58,2)</f>
        <v>78.58</v>
      </c>
      <c r="K357" s="4">
        <f t="shared" si="22"/>
        <v>69.43</v>
      </c>
      <c r="L357" s="16"/>
    </row>
    <row r="358" spans="1:12" ht="20.25" customHeight="1">
      <c r="A358" s="3">
        <v>356</v>
      </c>
      <c r="B358" s="8">
        <v>180069</v>
      </c>
      <c r="C358" s="9"/>
      <c r="D358" s="9" t="str">
        <f>"2018012524"</f>
        <v>2018012524</v>
      </c>
      <c r="E358" s="9">
        <v>52.5</v>
      </c>
      <c r="F358" s="9">
        <v>85</v>
      </c>
      <c r="G358" s="9">
        <f t="shared" si="23"/>
        <v>75.25</v>
      </c>
      <c r="H358" s="9" t="s">
        <v>25</v>
      </c>
      <c r="I358" s="4">
        <v>78.6</v>
      </c>
      <c r="J358" s="4">
        <f>ROUND(I358*74.85/74.11,2)</f>
        <v>79.38</v>
      </c>
      <c r="K358" s="4">
        <f t="shared" si="22"/>
        <v>69.38</v>
      </c>
      <c r="L358" s="16"/>
    </row>
    <row r="359" spans="1:12" ht="20.25" customHeight="1">
      <c r="A359" s="3">
        <v>357</v>
      </c>
      <c r="B359" s="8">
        <v>180069</v>
      </c>
      <c r="C359" s="9"/>
      <c r="D359" s="9" t="str">
        <f>"2018013229"</f>
        <v>2018013229</v>
      </c>
      <c r="E359" s="9">
        <v>39</v>
      </c>
      <c r="F359" s="9">
        <v>99</v>
      </c>
      <c r="G359" s="9">
        <f t="shared" si="23"/>
        <v>81</v>
      </c>
      <c r="H359" s="9" t="s">
        <v>25</v>
      </c>
      <c r="I359" s="4">
        <v>71.4</v>
      </c>
      <c r="J359" s="4">
        <f>ROUND(I359*74.85/74.11,2)</f>
        <v>72.11</v>
      </c>
      <c r="K359" s="4">
        <f t="shared" si="22"/>
        <v>69.34</v>
      </c>
      <c r="L359" s="16"/>
    </row>
    <row r="360" spans="1:12" ht="20.25" customHeight="1">
      <c r="A360" s="3">
        <v>358</v>
      </c>
      <c r="B360" s="8">
        <v>180069</v>
      </c>
      <c r="C360" s="9"/>
      <c r="D360" s="9" t="str">
        <f>"2018013115"</f>
        <v>2018013115</v>
      </c>
      <c r="E360" s="9">
        <v>37.5</v>
      </c>
      <c r="F360" s="9">
        <v>97</v>
      </c>
      <c r="G360" s="9">
        <f t="shared" si="23"/>
        <v>79.14999999999999</v>
      </c>
      <c r="H360" s="9" t="s">
        <v>21</v>
      </c>
      <c r="I360" s="4">
        <v>70.6</v>
      </c>
      <c r="J360" s="4">
        <f>ROUND(I360*74.85/71.05,2)</f>
        <v>74.38</v>
      </c>
      <c r="K360" s="4">
        <f t="shared" si="22"/>
        <v>69.33</v>
      </c>
      <c r="L360" s="16"/>
    </row>
    <row r="361" spans="1:12" ht="20.25" customHeight="1">
      <c r="A361" s="3">
        <v>359</v>
      </c>
      <c r="B361" s="8">
        <v>180069</v>
      </c>
      <c r="C361" s="9"/>
      <c r="D361" s="9" t="str">
        <f>"2018012707"</f>
        <v>2018012707</v>
      </c>
      <c r="E361" s="9">
        <v>45</v>
      </c>
      <c r="F361" s="9">
        <v>91</v>
      </c>
      <c r="G361" s="9">
        <f t="shared" si="23"/>
        <v>77.19999999999999</v>
      </c>
      <c r="H361" s="9" t="s">
        <v>24</v>
      </c>
      <c r="I361" s="4">
        <v>79.6</v>
      </c>
      <c r="J361" s="4">
        <f>ROUND(I361*74.85/77.67,2)</f>
        <v>76.71</v>
      </c>
      <c r="K361" s="4">
        <f t="shared" si="22"/>
        <v>69.28</v>
      </c>
      <c r="L361" s="16"/>
    </row>
    <row r="362" spans="1:12" ht="20.25" customHeight="1">
      <c r="A362" s="3">
        <v>360</v>
      </c>
      <c r="B362" s="8">
        <v>180069</v>
      </c>
      <c r="C362" s="9"/>
      <c r="D362" s="9" t="str">
        <f>"2018012705"</f>
        <v>2018012705</v>
      </c>
      <c r="E362" s="9">
        <v>44</v>
      </c>
      <c r="F362" s="9">
        <v>91</v>
      </c>
      <c r="G362" s="9">
        <f t="shared" si="23"/>
        <v>76.89999999999999</v>
      </c>
      <c r="H362" s="9" t="s">
        <v>21</v>
      </c>
      <c r="I362" s="4">
        <v>73</v>
      </c>
      <c r="J362" s="4">
        <f>ROUND(I362*74.85/71.05,2)</f>
        <v>76.9</v>
      </c>
      <c r="K362" s="4">
        <f t="shared" si="22"/>
        <v>69.21</v>
      </c>
      <c r="L362" s="16"/>
    </row>
    <row r="363" spans="1:12" ht="20.25" customHeight="1">
      <c r="A363" s="3">
        <v>361</v>
      </c>
      <c r="B363" s="8">
        <v>180069</v>
      </c>
      <c r="C363" s="12"/>
      <c r="D363" s="12" t="str">
        <f>"2018012929"</f>
        <v>2018012929</v>
      </c>
      <c r="E363" s="12">
        <v>50</v>
      </c>
      <c r="F363" s="12">
        <v>83</v>
      </c>
      <c r="G363" s="12">
        <f t="shared" si="23"/>
        <v>73.1</v>
      </c>
      <c r="H363" s="12" t="s">
        <v>21</v>
      </c>
      <c r="I363" s="4">
        <v>77.4</v>
      </c>
      <c r="J363" s="4">
        <f>ROUND(I363*74.85/71.05,2)</f>
        <v>81.54</v>
      </c>
      <c r="K363" s="4">
        <f t="shared" si="22"/>
        <v>69.17</v>
      </c>
      <c r="L363" s="16"/>
    </row>
    <row r="364" spans="1:12" ht="20.25" customHeight="1">
      <c r="A364" s="3">
        <v>362</v>
      </c>
      <c r="B364" s="8">
        <v>180069</v>
      </c>
      <c r="C364" s="9"/>
      <c r="D364" s="9" t="str">
        <f>"2018012626"</f>
        <v>2018012626</v>
      </c>
      <c r="E364" s="9">
        <v>39</v>
      </c>
      <c r="F364" s="9">
        <v>94</v>
      </c>
      <c r="G364" s="9">
        <f t="shared" si="23"/>
        <v>77.5</v>
      </c>
      <c r="H364" s="9" t="s">
        <v>25</v>
      </c>
      <c r="I364" s="4">
        <v>74.96</v>
      </c>
      <c r="J364" s="4">
        <f>ROUND(I364*74.85/74.11,2)</f>
        <v>75.71</v>
      </c>
      <c r="K364" s="4">
        <f t="shared" si="22"/>
        <v>69.03</v>
      </c>
      <c r="L364" s="16"/>
    </row>
    <row r="365" spans="1:12" ht="20.25" customHeight="1">
      <c r="A365" s="3">
        <v>363</v>
      </c>
      <c r="B365" s="8">
        <v>180069</v>
      </c>
      <c r="C365" s="9"/>
      <c r="D365" s="9" t="str">
        <f>"2018012512"</f>
        <v>2018012512</v>
      </c>
      <c r="E365" s="9">
        <v>42</v>
      </c>
      <c r="F365" s="9">
        <v>93</v>
      </c>
      <c r="G365" s="9">
        <f t="shared" si="23"/>
        <v>77.69999999999999</v>
      </c>
      <c r="H365" s="9" t="s">
        <v>24</v>
      </c>
      <c r="I365" s="4">
        <v>77.8</v>
      </c>
      <c r="J365" s="4">
        <f>ROUND(I365*74.85/77.67,2)</f>
        <v>74.98</v>
      </c>
      <c r="K365" s="4">
        <f t="shared" si="22"/>
        <v>68.84</v>
      </c>
      <c r="L365" s="16"/>
    </row>
    <row r="366" spans="1:12" ht="20.25" customHeight="1">
      <c r="A366" s="3">
        <v>364</v>
      </c>
      <c r="B366" s="8">
        <v>180069</v>
      </c>
      <c r="C366" s="9"/>
      <c r="D366" s="9" t="str">
        <f>"2018012401"</f>
        <v>2018012401</v>
      </c>
      <c r="E366" s="9">
        <v>34.5</v>
      </c>
      <c r="F366" s="9">
        <v>96</v>
      </c>
      <c r="G366" s="9">
        <f t="shared" si="23"/>
        <v>77.54999999999998</v>
      </c>
      <c r="H366" s="9" t="s">
        <v>22</v>
      </c>
      <c r="I366" s="4">
        <v>76.8</v>
      </c>
      <c r="J366" s="4">
        <f>ROUND(I366*74.85/76.58,2)</f>
        <v>75.07</v>
      </c>
      <c r="K366" s="4">
        <f t="shared" si="22"/>
        <v>68.8</v>
      </c>
      <c r="L366" s="16"/>
    </row>
    <row r="367" spans="1:12" ht="20.25" customHeight="1">
      <c r="A367" s="3">
        <v>365</v>
      </c>
      <c r="B367" s="8">
        <v>180069</v>
      </c>
      <c r="C367" s="9"/>
      <c r="D367" s="9" t="str">
        <f>"2018012716"</f>
        <v>2018012716</v>
      </c>
      <c r="E367" s="9">
        <v>43.5</v>
      </c>
      <c r="F367" s="9">
        <v>90</v>
      </c>
      <c r="G367" s="9">
        <f aca="true" t="shared" si="24" ref="G367:G398">E367*0.3+F367*0.7</f>
        <v>76.05</v>
      </c>
      <c r="H367" s="9" t="s">
        <v>25</v>
      </c>
      <c r="I367" s="4">
        <v>76</v>
      </c>
      <c r="J367" s="4">
        <f>ROUND(I367*74.85/74.11,2)</f>
        <v>76.76</v>
      </c>
      <c r="K367" s="4">
        <f t="shared" si="22"/>
        <v>68.73</v>
      </c>
      <c r="L367" s="16"/>
    </row>
    <row r="368" spans="1:12" ht="20.25" customHeight="1">
      <c r="A368" s="3">
        <v>366</v>
      </c>
      <c r="B368" s="8">
        <v>180069</v>
      </c>
      <c r="C368" s="9"/>
      <c r="D368" s="9" t="str">
        <f>"2018012613"</f>
        <v>2018012613</v>
      </c>
      <c r="E368" s="9">
        <v>33.5</v>
      </c>
      <c r="F368" s="9">
        <v>99</v>
      </c>
      <c r="G368" s="9">
        <f t="shared" si="24"/>
        <v>79.35</v>
      </c>
      <c r="H368" s="9" t="s">
        <v>22</v>
      </c>
      <c r="I368" s="4">
        <v>74</v>
      </c>
      <c r="J368" s="4">
        <f>ROUND(I368*74.85/76.58,2)</f>
        <v>72.33</v>
      </c>
      <c r="K368" s="4">
        <f t="shared" si="22"/>
        <v>68.61</v>
      </c>
      <c r="L368" s="16"/>
    </row>
    <row r="369" spans="1:12" ht="20.25" customHeight="1">
      <c r="A369" s="3">
        <v>367</v>
      </c>
      <c r="B369" s="8">
        <v>180069</v>
      </c>
      <c r="C369" s="9"/>
      <c r="D369" s="9" t="str">
        <f>"2018013224"</f>
        <v>2018013224</v>
      </c>
      <c r="E369" s="9">
        <v>42</v>
      </c>
      <c r="F369" s="9">
        <v>92</v>
      </c>
      <c r="G369" s="9">
        <f t="shared" si="24"/>
        <v>76.99999999999999</v>
      </c>
      <c r="H369" s="9" t="s">
        <v>22</v>
      </c>
      <c r="I369" s="4">
        <v>77</v>
      </c>
      <c r="J369" s="4">
        <f>ROUND(I369*74.85/76.58,2)</f>
        <v>75.26</v>
      </c>
      <c r="K369" s="4">
        <f t="shared" si="22"/>
        <v>68.6</v>
      </c>
      <c r="L369" s="16"/>
    </row>
    <row r="370" spans="1:12" ht="20.25" customHeight="1">
      <c r="A370" s="3">
        <v>368</v>
      </c>
      <c r="B370" s="8">
        <v>180069</v>
      </c>
      <c r="C370" s="9"/>
      <c r="D370" s="9" t="str">
        <f>"2018012714"</f>
        <v>2018012714</v>
      </c>
      <c r="E370" s="9">
        <v>42</v>
      </c>
      <c r="F370" s="9">
        <v>95</v>
      </c>
      <c r="G370" s="9">
        <f t="shared" si="24"/>
        <v>79.1</v>
      </c>
      <c r="H370" s="9" t="s">
        <v>25</v>
      </c>
      <c r="I370" s="4">
        <v>71.8</v>
      </c>
      <c r="J370" s="4">
        <f>ROUND(I370*74.85/74.11,2)</f>
        <v>72.52</v>
      </c>
      <c r="K370" s="4">
        <f t="shared" si="22"/>
        <v>68.56</v>
      </c>
      <c r="L370" s="16"/>
    </row>
    <row r="371" spans="1:12" ht="20.25" customHeight="1">
      <c r="A371" s="3">
        <v>369</v>
      </c>
      <c r="B371" s="8">
        <v>180069</v>
      </c>
      <c r="C371" s="9"/>
      <c r="D371" s="9" t="str">
        <f>"2018012630"</f>
        <v>2018012630</v>
      </c>
      <c r="E371" s="9">
        <v>37</v>
      </c>
      <c r="F371" s="9">
        <v>95</v>
      </c>
      <c r="G371" s="9">
        <f t="shared" si="24"/>
        <v>77.6</v>
      </c>
      <c r="H371" s="9" t="s">
        <v>24</v>
      </c>
      <c r="I371" s="4">
        <v>76.8</v>
      </c>
      <c r="J371" s="4">
        <f>ROUND(I371*74.85/77.67,2)</f>
        <v>74.01</v>
      </c>
      <c r="K371" s="4">
        <f t="shared" si="22"/>
        <v>68.4</v>
      </c>
      <c r="L371" s="16"/>
    </row>
    <row r="372" spans="1:12" ht="20.25" customHeight="1">
      <c r="A372" s="3">
        <v>370</v>
      </c>
      <c r="B372" s="8">
        <v>180069</v>
      </c>
      <c r="C372" s="9"/>
      <c r="D372" s="9" t="str">
        <f>"2018013203"</f>
        <v>2018013203</v>
      </c>
      <c r="E372" s="9">
        <v>45</v>
      </c>
      <c r="F372" s="9">
        <v>89</v>
      </c>
      <c r="G372" s="9">
        <f t="shared" si="24"/>
        <v>75.8</v>
      </c>
      <c r="H372" s="9" t="s">
        <v>22</v>
      </c>
      <c r="I372" s="4">
        <v>78</v>
      </c>
      <c r="J372" s="4">
        <f>ROUND(I372*74.85/76.58,2)</f>
        <v>76.24</v>
      </c>
      <c r="K372" s="4">
        <f t="shared" si="22"/>
        <v>68.4</v>
      </c>
      <c r="L372" s="16"/>
    </row>
    <row r="373" spans="1:12" ht="20.25" customHeight="1">
      <c r="A373" s="3">
        <v>371</v>
      </c>
      <c r="B373" s="8">
        <v>180069</v>
      </c>
      <c r="C373" s="9"/>
      <c r="D373" s="9" t="str">
        <f>"2018012609"</f>
        <v>2018012609</v>
      </c>
      <c r="E373" s="9">
        <v>32.5</v>
      </c>
      <c r="F373" s="9">
        <v>95</v>
      </c>
      <c r="G373" s="9">
        <f t="shared" si="24"/>
        <v>76.25</v>
      </c>
      <c r="H373" s="9" t="s">
        <v>25</v>
      </c>
      <c r="I373" s="4">
        <v>74.92</v>
      </c>
      <c r="J373" s="4">
        <f>ROUND(I373*74.85/74.11,2)</f>
        <v>75.67</v>
      </c>
      <c r="K373" s="4">
        <f t="shared" si="22"/>
        <v>68.39</v>
      </c>
      <c r="L373" s="16"/>
    </row>
    <row r="374" spans="1:12" ht="20.25" customHeight="1">
      <c r="A374" s="3">
        <v>372</v>
      </c>
      <c r="B374" s="8">
        <v>180069</v>
      </c>
      <c r="C374" s="9"/>
      <c r="D374" s="9" t="str">
        <f>"2018013127"</f>
        <v>2018013127</v>
      </c>
      <c r="E374" s="9">
        <v>41</v>
      </c>
      <c r="F374" s="9">
        <v>90</v>
      </c>
      <c r="G374" s="9">
        <f t="shared" si="24"/>
        <v>75.3</v>
      </c>
      <c r="H374" s="9" t="s">
        <v>22</v>
      </c>
      <c r="I374" s="4">
        <v>78</v>
      </c>
      <c r="J374" s="4">
        <f>ROUND(I374*74.85/76.58,2)</f>
        <v>76.24</v>
      </c>
      <c r="K374" s="4">
        <f t="shared" si="22"/>
        <v>68.15</v>
      </c>
      <c r="L374" s="16"/>
    </row>
    <row r="375" spans="1:12" ht="20.25" customHeight="1">
      <c r="A375" s="3">
        <v>373</v>
      </c>
      <c r="B375" s="8">
        <v>180069</v>
      </c>
      <c r="C375" s="9"/>
      <c r="D375" s="9" t="str">
        <f>"2018012520"</f>
        <v>2018012520</v>
      </c>
      <c r="E375" s="9">
        <v>48.5</v>
      </c>
      <c r="F375" s="9">
        <v>89</v>
      </c>
      <c r="G375" s="9">
        <f t="shared" si="24"/>
        <v>76.85</v>
      </c>
      <c r="H375" s="9" t="s">
        <v>25</v>
      </c>
      <c r="I375" s="4">
        <v>73.3</v>
      </c>
      <c r="J375" s="4">
        <f>ROUND(I375*74.85/74.11,2)</f>
        <v>74.03</v>
      </c>
      <c r="K375" s="4">
        <f t="shared" si="22"/>
        <v>68.04</v>
      </c>
      <c r="L375" s="16"/>
    </row>
    <row r="376" spans="1:12" ht="20.25" customHeight="1">
      <c r="A376" s="3">
        <v>374</v>
      </c>
      <c r="B376" s="8">
        <v>180069</v>
      </c>
      <c r="C376" s="9"/>
      <c r="D376" s="9" t="str">
        <f>"2018013204"</f>
        <v>2018013204</v>
      </c>
      <c r="E376" s="9">
        <v>33.5</v>
      </c>
      <c r="F376" s="9">
        <v>97</v>
      </c>
      <c r="G376" s="9">
        <f t="shared" si="24"/>
        <v>77.94999999999999</v>
      </c>
      <c r="H376" s="9" t="s">
        <v>22</v>
      </c>
      <c r="I376" s="4">
        <v>74</v>
      </c>
      <c r="J376" s="4">
        <f>ROUND(I376*74.85/76.58,2)</f>
        <v>72.33</v>
      </c>
      <c r="K376" s="4">
        <f t="shared" si="22"/>
        <v>67.91</v>
      </c>
      <c r="L376" s="16"/>
    </row>
    <row r="377" spans="1:12" ht="20.25" customHeight="1">
      <c r="A377" s="3">
        <v>375</v>
      </c>
      <c r="B377" s="8">
        <v>180069</v>
      </c>
      <c r="C377" s="9"/>
      <c r="D377" s="9" t="str">
        <f>"2018013006"</f>
        <v>2018013006</v>
      </c>
      <c r="E377" s="9">
        <v>33.5</v>
      </c>
      <c r="F377" s="9">
        <v>97</v>
      </c>
      <c r="G377" s="9">
        <f t="shared" si="24"/>
        <v>77.94999999999999</v>
      </c>
      <c r="H377" s="9" t="s">
        <v>22</v>
      </c>
      <c r="I377" s="4">
        <v>73.8</v>
      </c>
      <c r="J377" s="4">
        <f>ROUND(I377*74.85/76.58,2)</f>
        <v>72.13</v>
      </c>
      <c r="K377" s="4">
        <f t="shared" si="22"/>
        <v>67.83</v>
      </c>
      <c r="L377" s="16"/>
    </row>
    <row r="378" spans="1:12" ht="20.25" customHeight="1">
      <c r="A378" s="3">
        <v>376</v>
      </c>
      <c r="B378" s="8">
        <v>180069</v>
      </c>
      <c r="C378" s="9"/>
      <c r="D378" s="9" t="str">
        <f>"2018012721"</f>
        <v>2018012721</v>
      </c>
      <c r="E378" s="9">
        <v>40</v>
      </c>
      <c r="F378" s="9">
        <v>91</v>
      </c>
      <c r="G378" s="9">
        <f t="shared" si="24"/>
        <v>75.69999999999999</v>
      </c>
      <c r="H378" s="9" t="s">
        <v>25</v>
      </c>
      <c r="I378" s="4">
        <v>74.2</v>
      </c>
      <c r="J378" s="4">
        <f>ROUND(I378*74.85/74.11,2)</f>
        <v>74.94</v>
      </c>
      <c r="K378" s="4">
        <f t="shared" si="22"/>
        <v>67.83</v>
      </c>
      <c r="L378" s="16"/>
    </row>
    <row r="379" spans="1:12" ht="20.25" customHeight="1">
      <c r="A379" s="3">
        <v>377</v>
      </c>
      <c r="B379" s="8">
        <v>180069</v>
      </c>
      <c r="C379" s="9"/>
      <c r="D379" s="9" t="str">
        <f>"2018012916"</f>
        <v>2018012916</v>
      </c>
      <c r="E379" s="9">
        <v>42.5</v>
      </c>
      <c r="F379" s="9">
        <v>98</v>
      </c>
      <c r="G379" s="9">
        <f t="shared" si="24"/>
        <v>81.35</v>
      </c>
      <c r="H379" s="9" t="s">
        <v>22</v>
      </c>
      <c r="I379" s="4">
        <v>69.4</v>
      </c>
      <c r="J379" s="4">
        <f>ROUND(I379*74.85/76.58,2)</f>
        <v>67.83</v>
      </c>
      <c r="K379" s="4">
        <f t="shared" si="22"/>
        <v>67.81</v>
      </c>
      <c r="L379" s="16"/>
    </row>
    <row r="380" spans="1:12" ht="20.25" customHeight="1">
      <c r="A380" s="3">
        <v>378</v>
      </c>
      <c r="B380" s="8">
        <v>180069</v>
      </c>
      <c r="C380" s="9"/>
      <c r="D380" s="9" t="str">
        <f>"2018012810"</f>
        <v>2018012810</v>
      </c>
      <c r="E380" s="9">
        <v>31.5</v>
      </c>
      <c r="F380" s="9">
        <v>93</v>
      </c>
      <c r="G380" s="9">
        <f t="shared" si="24"/>
        <v>74.55</v>
      </c>
      <c r="H380" s="9" t="s">
        <v>25</v>
      </c>
      <c r="I380" s="4">
        <v>75</v>
      </c>
      <c r="J380" s="4">
        <f>ROUND(I380*74.85/74.11,2)</f>
        <v>75.75</v>
      </c>
      <c r="K380" s="4">
        <f t="shared" si="22"/>
        <v>67.58</v>
      </c>
      <c r="L380" s="16"/>
    </row>
    <row r="381" spans="1:12" ht="20.25" customHeight="1">
      <c r="A381" s="3">
        <v>379</v>
      </c>
      <c r="B381" s="8">
        <v>180069</v>
      </c>
      <c r="C381" s="9"/>
      <c r="D381" s="9" t="str">
        <f>"2018013215"</f>
        <v>2018013215</v>
      </c>
      <c r="E381" s="9">
        <v>42.5</v>
      </c>
      <c r="F381" s="9">
        <v>91</v>
      </c>
      <c r="G381" s="9">
        <f t="shared" si="24"/>
        <v>76.44999999999999</v>
      </c>
      <c r="H381" s="9" t="s">
        <v>21</v>
      </c>
      <c r="I381" s="4">
        <v>69.4</v>
      </c>
      <c r="J381" s="4">
        <f>ROUND(I381*74.85/71.05,2)</f>
        <v>73.11</v>
      </c>
      <c r="K381" s="4">
        <f t="shared" si="22"/>
        <v>67.47</v>
      </c>
      <c r="L381" s="16"/>
    </row>
    <row r="382" spans="1:12" ht="20.25" customHeight="1">
      <c r="A382" s="3">
        <v>380</v>
      </c>
      <c r="B382" s="8">
        <v>180069</v>
      </c>
      <c r="C382" s="9"/>
      <c r="D382" s="9" t="str">
        <f>"2018012415"</f>
        <v>2018012415</v>
      </c>
      <c r="E382" s="9">
        <v>58</v>
      </c>
      <c r="F382" s="9">
        <v>89</v>
      </c>
      <c r="G382" s="9">
        <f t="shared" si="24"/>
        <v>79.69999999999999</v>
      </c>
      <c r="H382" s="9" t="s">
        <v>24</v>
      </c>
      <c r="I382" s="4">
        <v>71.2</v>
      </c>
      <c r="J382" s="4">
        <f>ROUND(I382*74.85/77.67,2)</f>
        <v>68.61</v>
      </c>
      <c r="K382" s="4">
        <f t="shared" si="22"/>
        <v>67.29</v>
      </c>
      <c r="L382" s="16"/>
    </row>
    <row r="383" spans="1:12" ht="20.25" customHeight="1">
      <c r="A383" s="3">
        <v>381</v>
      </c>
      <c r="B383" s="8">
        <v>180069</v>
      </c>
      <c r="C383" s="12"/>
      <c r="D383" s="12" t="str">
        <f>"2018012621"</f>
        <v>2018012621</v>
      </c>
      <c r="E383" s="12">
        <v>36.5</v>
      </c>
      <c r="F383" s="12">
        <v>89</v>
      </c>
      <c r="G383" s="12">
        <f t="shared" si="24"/>
        <v>73.25</v>
      </c>
      <c r="H383" s="12" t="s">
        <v>25</v>
      </c>
      <c r="I383" s="4">
        <v>75.76</v>
      </c>
      <c r="J383" s="4">
        <f>ROUND(I383*74.85/74.11,2)</f>
        <v>76.52</v>
      </c>
      <c r="K383" s="4">
        <f t="shared" si="22"/>
        <v>67.23</v>
      </c>
      <c r="L383" s="16"/>
    </row>
    <row r="384" spans="1:12" ht="20.25" customHeight="1">
      <c r="A384" s="3">
        <v>382</v>
      </c>
      <c r="B384" s="8">
        <v>180069</v>
      </c>
      <c r="C384" s="9"/>
      <c r="D384" s="9" t="str">
        <f>"2018012407"</f>
        <v>2018012407</v>
      </c>
      <c r="E384" s="9">
        <v>39.5</v>
      </c>
      <c r="F384" s="9">
        <v>93</v>
      </c>
      <c r="G384" s="9">
        <f t="shared" si="24"/>
        <v>76.94999999999999</v>
      </c>
      <c r="H384" s="9" t="s">
        <v>24</v>
      </c>
      <c r="I384" s="4">
        <v>74.4</v>
      </c>
      <c r="J384" s="4">
        <f>ROUND(I384*74.85/77.67,2)</f>
        <v>71.7</v>
      </c>
      <c r="K384" s="4">
        <f t="shared" si="22"/>
        <v>67.16</v>
      </c>
      <c r="L384" s="16"/>
    </row>
    <row r="385" spans="1:12" ht="20.25" customHeight="1">
      <c r="A385" s="3">
        <v>383</v>
      </c>
      <c r="B385" s="8">
        <v>180069</v>
      </c>
      <c r="C385" s="9"/>
      <c r="D385" s="9" t="str">
        <f>"2018012927"</f>
        <v>2018012927</v>
      </c>
      <c r="E385" s="9">
        <v>45</v>
      </c>
      <c r="F385" s="9">
        <v>90</v>
      </c>
      <c r="G385" s="9">
        <f t="shared" si="24"/>
        <v>76.5</v>
      </c>
      <c r="H385" s="9" t="s">
        <v>25</v>
      </c>
      <c r="I385" s="4">
        <v>70.8</v>
      </c>
      <c r="J385" s="4">
        <f>ROUND(I385*74.85/74.11,2)</f>
        <v>71.51</v>
      </c>
      <c r="K385" s="4">
        <f t="shared" si="22"/>
        <v>66.85</v>
      </c>
      <c r="L385" s="16"/>
    </row>
    <row r="386" spans="1:12" ht="20.25" customHeight="1">
      <c r="A386" s="3">
        <v>384</v>
      </c>
      <c r="B386" s="8">
        <v>180069</v>
      </c>
      <c r="C386" s="9"/>
      <c r="D386" s="9" t="str">
        <f>"2018012430"</f>
        <v>2018012430</v>
      </c>
      <c r="E386" s="9">
        <v>32</v>
      </c>
      <c r="F386" s="9">
        <v>94</v>
      </c>
      <c r="G386" s="9">
        <f t="shared" si="24"/>
        <v>75.39999999999999</v>
      </c>
      <c r="H386" s="9" t="s">
        <v>25</v>
      </c>
      <c r="I386" s="4">
        <v>72</v>
      </c>
      <c r="J386" s="4">
        <f>ROUND(I386*74.85/74.11,2)</f>
        <v>72.72</v>
      </c>
      <c r="K386" s="4">
        <f t="shared" si="22"/>
        <v>66.79</v>
      </c>
      <c r="L386" s="16"/>
    </row>
    <row r="387" spans="1:12" ht="20.25" customHeight="1">
      <c r="A387" s="3">
        <v>385</v>
      </c>
      <c r="B387" s="8">
        <v>180069</v>
      </c>
      <c r="C387" s="9"/>
      <c r="D387" s="9" t="str">
        <f>"2018013111"</f>
        <v>2018013111</v>
      </c>
      <c r="E387" s="9">
        <v>40</v>
      </c>
      <c r="F387" s="9">
        <v>92</v>
      </c>
      <c r="G387" s="9">
        <f t="shared" si="24"/>
        <v>76.39999999999999</v>
      </c>
      <c r="H387" s="9" t="s">
        <v>22</v>
      </c>
      <c r="I387" s="4">
        <v>73</v>
      </c>
      <c r="J387" s="4">
        <f>ROUND(I387*74.85/76.58,2)</f>
        <v>71.35</v>
      </c>
      <c r="K387" s="4">
        <f t="shared" si="22"/>
        <v>66.74</v>
      </c>
      <c r="L387" s="16"/>
    </row>
    <row r="388" spans="1:12" ht="20.25" customHeight="1">
      <c r="A388" s="3">
        <v>386</v>
      </c>
      <c r="B388" s="8">
        <v>180069</v>
      </c>
      <c r="C388" s="12"/>
      <c r="D388" s="12" t="str">
        <f>"2018013225"</f>
        <v>2018013225</v>
      </c>
      <c r="E388" s="12">
        <v>42</v>
      </c>
      <c r="F388" s="12">
        <v>87</v>
      </c>
      <c r="G388" s="12">
        <f t="shared" si="24"/>
        <v>73.5</v>
      </c>
      <c r="H388" s="12" t="s">
        <v>24</v>
      </c>
      <c r="I388" s="4">
        <v>77.8</v>
      </c>
      <c r="J388" s="4">
        <f>ROUND(I388*74.85/77.67,2)</f>
        <v>74.98</v>
      </c>
      <c r="K388" s="4">
        <f aca="true" t="shared" si="25" ref="K388:K435">ROUND(G388/1.2*0.6+J388*0.4,2)</f>
        <v>66.74</v>
      </c>
      <c r="L388" s="16"/>
    </row>
    <row r="389" spans="1:12" ht="20.25" customHeight="1">
      <c r="A389" s="3">
        <v>387</v>
      </c>
      <c r="B389" s="8">
        <v>180069</v>
      </c>
      <c r="C389" s="9"/>
      <c r="D389" s="9" t="str">
        <f>"2018013108"</f>
        <v>2018013108</v>
      </c>
      <c r="E389" s="9">
        <v>56</v>
      </c>
      <c r="F389" s="9">
        <v>84</v>
      </c>
      <c r="G389" s="9">
        <f t="shared" si="24"/>
        <v>75.6</v>
      </c>
      <c r="H389" s="9" t="s">
        <v>22</v>
      </c>
      <c r="I389" s="4">
        <v>73.8</v>
      </c>
      <c r="J389" s="4">
        <f>ROUND(I389*74.85/76.58,2)</f>
        <v>72.13</v>
      </c>
      <c r="K389" s="4">
        <f t="shared" si="25"/>
        <v>66.65</v>
      </c>
      <c r="L389" s="16"/>
    </row>
    <row r="390" spans="1:12" ht="20.25" customHeight="1">
      <c r="A390" s="3">
        <v>388</v>
      </c>
      <c r="B390" s="8">
        <v>180069</v>
      </c>
      <c r="C390" s="9"/>
      <c r="D390" s="9" t="str">
        <f>"2018012502"</f>
        <v>2018012502</v>
      </c>
      <c r="E390" s="9">
        <v>42</v>
      </c>
      <c r="F390" s="9">
        <v>89</v>
      </c>
      <c r="G390" s="9">
        <f t="shared" si="24"/>
        <v>74.89999999999999</v>
      </c>
      <c r="H390" s="9" t="s">
        <v>24</v>
      </c>
      <c r="I390" s="4">
        <v>75.6</v>
      </c>
      <c r="J390" s="4">
        <f>ROUND(I390*74.85/77.67,2)</f>
        <v>72.86</v>
      </c>
      <c r="K390" s="4">
        <f t="shared" si="25"/>
        <v>66.59</v>
      </c>
      <c r="L390" s="16"/>
    </row>
    <row r="391" spans="1:12" ht="20.25" customHeight="1">
      <c r="A391" s="3">
        <v>389</v>
      </c>
      <c r="B391" s="8">
        <v>180069</v>
      </c>
      <c r="C391" s="9"/>
      <c r="D391" s="9" t="str">
        <f>"2018013107"</f>
        <v>2018013107</v>
      </c>
      <c r="E391" s="9">
        <v>38</v>
      </c>
      <c r="F391" s="9">
        <v>90</v>
      </c>
      <c r="G391" s="9">
        <f t="shared" si="24"/>
        <v>74.39999999999999</v>
      </c>
      <c r="H391" s="9" t="s">
        <v>24</v>
      </c>
      <c r="I391" s="4">
        <v>75.4</v>
      </c>
      <c r="J391" s="4">
        <f>ROUND(I391*74.85/77.67,2)</f>
        <v>72.66</v>
      </c>
      <c r="K391" s="4">
        <f t="shared" si="25"/>
        <v>66.26</v>
      </c>
      <c r="L391" s="16"/>
    </row>
    <row r="392" spans="1:12" ht="20.25" customHeight="1">
      <c r="A392" s="3">
        <v>390</v>
      </c>
      <c r="B392" s="8">
        <v>180069</v>
      </c>
      <c r="C392" s="9"/>
      <c r="D392" s="9" t="str">
        <f>"2018012725"</f>
        <v>2018012725</v>
      </c>
      <c r="E392" s="9">
        <v>47</v>
      </c>
      <c r="F392" s="9">
        <v>89</v>
      </c>
      <c r="G392" s="9">
        <f t="shared" si="24"/>
        <v>76.39999999999999</v>
      </c>
      <c r="H392" s="9" t="s">
        <v>24</v>
      </c>
      <c r="I392" s="4">
        <v>72.6</v>
      </c>
      <c r="J392" s="4">
        <f>ROUND(I392*74.85/77.67,2)</f>
        <v>69.96</v>
      </c>
      <c r="K392" s="4">
        <f t="shared" si="25"/>
        <v>66.18</v>
      </c>
      <c r="L392" s="16"/>
    </row>
    <row r="393" spans="1:12" ht="20.25" customHeight="1">
      <c r="A393" s="3">
        <v>391</v>
      </c>
      <c r="B393" s="8">
        <v>180069</v>
      </c>
      <c r="C393" s="9"/>
      <c r="D393" s="9" t="str">
        <f>"2018012822"</f>
        <v>2018012822</v>
      </c>
      <c r="E393" s="9">
        <v>53.5</v>
      </c>
      <c r="F393" s="9">
        <v>86</v>
      </c>
      <c r="G393" s="9">
        <f t="shared" si="24"/>
        <v>76.25</v>
      </c>
      <c r="H393" s="9" t="s">
        <v>25</v>
      </c>
      <c r="I393" s="4">
        <v>69.4</v>
      </c>
      <c r="J393" s="4">
        <f>ROUND(I393*74.85/74.11,2)</f>
        <v>70.09</v>
      </c>
      <c r="K393" s="4">
        <f t="shared" si="25"/>
        <v>66.16</v>
      </c>
      <c r="L393" s="16"/>
    </row>
    <row r="394" spans="1:12" ht="20.25" customHeight="1">
      <c r="A394" s="3">
        <v>392</v>
      </c>
      <c r="B394" s="8">
        <v>180069</v>
      </c>
      <c r="C394" s="12"/>
      <c r="D394" s="12" t="str">
        <f>"2018012814"</f>
        <v>2018012814</v>
      </c>
      <c r="E394" s="12">
        <v>38</v>
      </c>
      <c r="F394" s="12">
        <v>89</v>
      </c>
      <c r="G394" s="12">
        <f t="shared" si="24"/>
        <v>73.7</v>
      </c>
      <c r="H394" s="12" t="s">
        <v>22</v>
      </c>
      <c r="I394" s="4">
        <v>74.6</v>
      </c>
      <c r="J394" s="4">
        <f>ROUND(I394*74.85/76.58,2)</f>
        <v>72.91</v>
      </c>
      <c r="K394" s="4">
        <f t="shared" si="25"/>
        <v>66.01</v>
      </c>
      <c r="L394" s="16"/>
    </row>
    <row r="395" spans="1:12" ht="20.25" customHeight="1">
      <c r="A395" s="3">
        <v>393</v>
      </c>
      <c r="B395" s="8">
        <v>180069</v>
      </c>
      <c r="C395" s="9"/>
      <c r="D395" s="9" t="str">
        <f>"2018012427"</f>
        <v>2018012427</v>
      </c>
      <c r="E395" s="9">
        <v>34.5</v>
      </c>
      <c r="F395" s="9">
        <v>93</v>
      </c>
      <c r="G395" s="9">
        <f t="shared" si="24"/>
        <v>75.44999999999999</v>
      </c>
      <c r="H395" s="9" t="s">
        <v>24</v>
      </c>
      <c r="I395" s="4">
        <v>73</v>
      </c>
      <c r="J395" s="4">
        <f>ROUND(I395*74.85/77.67,2)</f>
        <v>70.35</v>
      </c>
      <c r="K395" s="4">
        <f t="shared" si="25"/>
        <v>65.87</v>
      </c>
      <c r="L395" s="16"/>
    </row>
    <row r="396" spans="1:12" ht="20.25" customHeight="1">
      <c r="A396" s="3">
        <v>394</v>
      </c>
      <c r="B396" s="8">
        <v>180069</v>
      </c>
      <c r="C396" s="9"/>
      <c r="D396" s="9" t="str">
        <f>"2018013822"</f>
        <v>2018013822</v>
      </c>
      <c r="E396" s="9">
        <v>41</v>
      </c>
      <c r="F396" s="9">
        <v>89</v>
      </c>
      <c r="G396" s="9">
        <f t="shared" si="24"/>
        <v>74.6</v>
      </c>
      <c r="H396" s="9" t="s">
        <v>21</v>
      </c>
      <c r="I396" s="4">
        <v>67.8</v>
      </c>
      <c r="J396" s="4">
        <f>ROUND(I396*74.85/71.05,2)</f>
        <v>71.43</v>
      </c>
      <c r="K396" s="4">
        <f t="shared" si="25"/>
        <v>65.87</v>
      </c>
      <c r="L396" s="16"/>
    </row>
    <row r="397" spans="1:12" ht="20.25" customHeight="1">
      <c r="A397" s="3">
        <v>395</v>
      </c>
      <c r="B397" s="8">
        <v>180069</v>
      </c>
      <c r="C397" s="9"/>
      <c r="D397" s="9" t="str">
        <f>"2018012606"</f>
        <v>2018012606</v>
      </c>
      <c r="E397" s="9">
        <v>55</v>
      </c>
      <c r="F397" s="9">
        <v>90</v>
      </c>
      <c r="G397" s="9">
        <f t="shared" si="24"/>
        <v>79.5</v>
      </c>
      <c r="H397" s="9" t="s">
        <v>21</v>
      </c>
      <c r="I397" s="4">
        <v>61.8</v>
      </c>
      <c r="J397" s="4">
        <f>ROUND(I397*74.85/71.05,2)</f>
        <v>65.11</v>
      </c>
      <c r="K397" s="4">
        <f t="shared" si="25"/>
        <v>65.79</v>
      </c>
      <c r="L397" s="16"/>
    </row>
    <row r="398" spans="1:12" ht="20.25" customHeight="1">
      <c r="A398" s="3">
        <v>396</v>
      </c>
      <c r="B398" s="8">
        <v>180069</v>
      </c>
      <c r="C398" s="9"/>
      <c r="D398" s="9" t="str">
        <f>"2018012420"</f>
        <v>2018012420</v>
      </c>
      <c r="E398" s="9">
        <v>47</v>
      </c>
      <c r="F398" s="9">
        <v>88</v>
      </c>
      <c r="G398" s="9">
        <f t="shared" si="24"/>
        <v>75.69999999999999</v>
      </c>
      <c r="H398" s="9" t="s">
        <v>21</v>
      </c>
      <c r="I398" s="4">
        <v>66.2</v>
      </c>
      <c r="J398" s="4">
        <f>ROUND(I398*74.85/71.05,2)</f>
        <v>69.74</v>
      </c>
      <c r="K398" s="4">
        <f t="shared" si="25"/>
        <v>65.75</v>
      </c>
      <c r="L398" s="16"/>
    </row>
    <row r="399" spans="1:12" ht="20.25" customHeight="1">
      <c r="A399" s="3">
        <v>397</v>
      </c>
      <c r="B399" s="8">
        <v>180069</v>
      </c>
      <c r="C399" s="9"/>
      <c r="D399" s="9" t="str">
        <f>"2018013027"</f>
        <v>2018013027</v>
      </c>
      <c r="E399" s="9">
        <v>32</v>
      </c>
      <c r="F399" s="9">
        <v>93</v>
      </c>
      <c r="G399" s="9">
        <f aca="true" t="shared" si="26" ref="G399:G430">E399*0.3+F399*0.7</f>
        <v>74.69999999999999</v>
      </c>
      <c r="H399" s="9" t="s">
        <v>24</v>
      </c>
      <c r="I399" s="4">
        <v>73.3</v>
      </c>
      <c r="J399" s="4">
        <f>ROUND(I399*74.85/77.67,2)</f>
        <v>70.64</v>
      </c>
      <c r="K399" s="4">
        <f t="shared" si="25"/>
        <v>65.61</v>
      </c>
      <c r="L399" s="16"/>
    </row>
    <row r="400" spans="1:12" ht="20.25" customHeight="1">
      <c r="A400" s="3">
        <v>398</v>
      </c>
      <c r="B400" s="8">
        <v>180069</v>
      </c>
      <c r="C400" s="9"/>
      <c r="D400" s="9" t="str">
        <f>"2018012625"</f>
        <v>2018012625</v>
      </c>
      <c r="E400" s="9">
        <v>36</v>
      </c>
      <c r="F400" s="9">
        <v>90</v>
      </c>
      <c r="G400" s="9">
        <f t="shared" si="26"/>
        <v>73.8</v>
      </c>
      <c r="H400" s="9" t="s">
        <v>24</v>
      </c>
      <c r="I400" s="4">
        <v>74.4</v>
      </c>
      <c r="J400" s="4">
        <f>ROUND(I400*74.85/77.67,2)</f>
        <v>71.7</v>
      </c>
      <c r="K400" s="4">
        <f t="shared" si="25"/>
        <v>65.58</v>
      </c>
      <c r="L400" s="16"/>
    </row>
    <row r="401" spans="1:12" ht="20.25" customHeight="1">
      <c r="A401" s="3">
        <v>399</v>
      </c>
      <c r="B401" s="8">
        <v>180069</v>
      </c>
      <c r="C401" s="12"/>
      <c r="D401" s="12" t="str">
        <f>"2018013102"</f>
        <v>2018013102</v>
      </c>
      <c r="E401" s="12">
        <v>50</v>
      </c>
      <c r="F401" s="12">
        <v>83</v>
      </c>
      <c r="G401" s="12">
        <f t="shared" si="26"/>
        <v>73.1</v>
      </c>
      <c r="H401" s="12" t="s">
        <v>21</v>
      </c>
      <c r="I401" s="4">
        <v>68.2</v>
      </c>
      <c r="J401" s="4">
        <f>ROUND(I401*74.85/71.05,2)</f>
        <v>71.85</v>
      </c>
      <c r="K401" s="4">
        <f t="shared" si="25"/>
        <v>65.29</v>
      </c>
      <c r="L401" s="16"/>
    </row>
    <row r="402" spans="1:12" ht="20.25" customHeight="1">
      <c r="A402" s="3">
        <v>400</v>
      </c>
      <c r="B402" s="8">
        <v>180069</v>
      </c>
      <c r="C402" s="9"/>
      <c r="D402" s="9" t="str">
        <f>"2018013124"</f>
        <v>2018013124</v>
      </c>
      <c r="E402" s="9">
        <v>46.5</v>
      </c>
      <c r="F402" s="9">
        <v>87</v>
      </c>
      <c r="G402" s="9">
        <f t="shared" si="26"/>
        <v>74.85</v>
      </c>
      <c r="H402" s="9" t="s">
        <v>22</v>
      </c>
      <c r="I402" s="4">
        <v>70.8</v>
      </c>
      <c r="J402" s="4">
        <f>ROUND(I402*74.85/76.58,2)</f>
        <v>69.2</v>
      </c>
      <c r="K402" s="4">
        <f t="shared" si="25"/>
        <v>65.11</v>
      </c>
      <c r="L402" s="16"/>
    </row>
    <row r="403" spans="1:12" ht="20.25" customHeight="1">
      <c r="A403" s="3">
        <v>401</v>
      </c>
      <c r="B403" s="8">
        <v>180069</v>
      </c>
      <c r="C403" s="9"/>
      <c r="D403" s="9" t="str">
        <f>"2018012410"</f>
        <v>2018012410</v>
      </c>
      <c r="E403" s="9">
        <v>40</v>
      </c>
      <c r="F403" s="9">
        <v>90</v>
      </c>
      <c r="G403" s="9">
        <f t="shared" si="26"/>
        <v>75</v>
      </c>
      <c r="H403" s="9" t="s">
        <v>21</v>
      </c>
      <c r="I403" s="4">
        <v>65.4</v>
      </c>
      <c r="J403" s="4">
        <f>ROUND(I403*74.85/71.05,2)</f>
        <v>68.9</v>
      </c>
      <c r="K403" s="4">
        <f t="shared" si="25"/>
        <v>65.06</v>
      </c>
      <c r="L403" s="16"/>
    </row>
    <row r="404" spans="1:12" ht="20.25" customHeight="1">
      <c r="A404" s="3">
        <v>402</v>
      </c>
      <c r="B404" s="8">
        <v>180069</v>
      </c>
      <c r="C404" s="9"/>
      <c r="D404" s="9" t="str">
        <f>"2018013011"</f>
        <v>2018013011</v>
      </c>
      <c r="E404" s="9">
        <v>36</v>
      </c>
      <c r="F404" s="9">
        <v>90</v>
      </c>
      <c r="G404" s="9">
        <f t="shared" si="26"/>
        <v>73.8</v>
      </c>
      <c r="H404" s="9" t="s">
        <v>22</v>
      </c>
      <c r="I404" s="4">
        <v>71.8</v>
      </c>
      <c r="J404" s="4">
        <f>ROUND(I404*74.85/76.58,2)</f>
        <v>70.18</v>
      </c>
      <c r="K404" s="4">
        <f t="shared" si="25"/>
        <v>64.97</v>
      </c>
      <c r="L404" s="16"/>
    </row>
    <row r="405" spans="1:12" ht="20.25" customHeight="1">
      <c r="A405" s="3">
        <v>403</v>
      </c>
      <c r="B405" s="8">
        <v>180069</v>
      </c>
      <c r="C405" s="12"/>
      <c r="D405" s="12" t="str">
        <f>"2018012727"</f>
        <v>2018012727</v>
      </c>
      <c r="E405" s="12">
        <v>35</v>
      </c>
      <c r="F405" s="12">
        <v>90</v>
      </c>
      <c r="G405" s="12">
        <f t="shared" si="26"/>
        <v>73.5</v>
      </c>
      <c r="H405" s="12" t="s">
        <v>21</v>
      </c>
      <c r="I405" s="4">
        <v>66</v>
      </c>
      <c r="J405" s="4">
        <f>ROUND(I405*74.85/71.05,2)</f>
        <v>69.53</v>
      </c>
      <c r="K405" s="4">
        <f t="shared" si="25"/>
        <v>64.56</v>
      </c>
      <c r="L405" s="16"/>
    </row>
    <row r="406" spans="1:12" ht="20.25" customHeight="1">
      <c r="A406" s="3">
        <v>404</v>
      </c>
      <c r="B406" s="8">
        <v>180069</v>
      </c>
      <c r="C406" s="9"/>
      <c r="D406" s="9" t="str">
        <f>"2018012616"</f>
        <v>2018012616</v>
      </c>
      <c r="E406" s="9">
        <v>48</v>
      </c>
      <c r="F406" s="9">
        <v>87</v>
      </c>
      <c r="G406" s="9">
        <f t="shared" si="26"/>
        <v>75.3</v>
      </c>
      <c r="H406" s="9" t="s">
        <v>25</v>
      </c>
      <c r="I406" s="4">
        <v>66</v>
      </c>
      <c r="J406" s="4">
        <f>ROUND(I406*74.85/74.11,2)</f>
        <v>66.66</v>
      </c>
      <c r="K406" s="4">
        <f t="shared" si="25"/>
        <v>64.31</v>
      </c>
      <c r="L406" s="16"/>
    </row>
    <row r="407" spans="1:12" ht="20.25" customHeight="1">
      <c r="A407" s="3">
        <v>405</v>
      </c>
      <c r="B407" s="8">
        <v>180069</v>
      </c>
      <c r="C407" s="12"/>
      <c r="D407" s="12" t="str">
        <f>"2018012624"</f>
        <v>2018012624</v>
      </c>
      <c r="E407" s="12">
        <v>49.5</v>
      </c>
      <c r="F407" s="12">
        <v>83</v>
      </c>
      <c r="G407" s="12">
        <f t="shared" si="26"/>
        <v>72.94999999999999</v>
      </c>
      <c r="H407" s="12" t="s">
        <v>24</v>
      </c>
      <c r="I407" s="4">
        <v>71.7</v>
      </c>
      <c r="J407" s="4">
        <f>ROUND(I407*74.85/77.67,2)</f>
        <v>69.1</v>
      </c>
      <c r="K407" s="4">
        <f t="shared" si="25"/>
        <v>64.12</v>
      </c>
      <c r="L407" s="16"/>
    </row>
    <row r="408" spans="1:12" ht="20.25" customHeight="1">
      <c r="A408" s="3">
        <v>406</v>
      </c>
      <c r="B408" s="8">
        <v>180069</v>
      </c>
      <c r="C408" s="12"/>
      <c r="D408" s="12" t="str">
        <f>"2018013019"</f>
        <v>2018013019</v>
      </c>
      <c r="E408" s="12">
        <v>28.5</v>
      </c>
      <c r="F408" s="12">
        <v>92</v>
      </c>
      <c r="G408" s="12">
        <f t="shared" si="26"/>
        <v>72.94999999999999</v>
      </c>
      <c r="H408" s="12" t="s">
        <v>25</v>
      </c>
      <c r="I408" s="4">
        <v>68.2</v>
      </c>
      <c r="J408" s="4">
        <f>ROUND(I408*74.85/74.11,2)</f>
        <v>68.88</v>
      </c>
      <c r="K408" s="4">
        <f t="shared" si="25"/>
        <v>64.03</v>
      </c>
      <c r="L408" s="16"/>
    </row>
    <row r="409" spans="1:12" ht="20.25" customHeight="1">
      <c r="A409" s="3">
        <v>407</v>
      </c>
      <c r="B409" s="8">
        <v>180069</v>
      </c>
      <c r="C409" s="9"/>
      <c r="D409" s="9" t="str">
        <f>"2018013015"</f>
        <v>2018013015</v>
      </c>
      <c r="E409" s="9">
        <v>41.5</v>
      </c>
      <c r="F409" s="9">
        <v>88</v>
      </c>
      <c r="G409" s="9">
        <f t="shared" si="26"/>
        <v>74.05</v>
      </c>
      <c r="H409" s="9" t="s">
        <v>25</v>
      </c>
      <c r="I409" s="4">
        <v>66.4</v>
      </c>
      <c r="J409" s="4">
        <f>ROUND(I409*74.85/74.11,2)</f>
        <v>67.06</v>
      </c>
      <c r="K409" s="4">
        <f t="shared" si="25"/>
        <v>63.85</v>
      </c>
      <c r="L409" s="16"/>
    </row>
    <row r="410" spans="1:12" ht="20.25" customHeight="1">
      <c r="A410" s="3">
        <v>408</v>
      </c>
      <c r="B410" s="8">
        <v>180069</v>
      </c>
      <c r="C410" s="9"/>
      <c r="D410" s="9" t="str">
        <f>"2018013226"</f>
        <v>2018013226</v>
      </c>
      <c r="E410" s="9">
        <v>34</v>
      </c>
      <c r="F410" s="9">
        <v>94</v>
      </c>
      <c r="G410" s="9">
        <f t="shared" si="26"/>
        <v>76</v>
      </c>
      <c r="H410" s="9" t="s">
        <v>25</v>
      </c>
      <c r="I410" s="4">
        <v>62.6</v>
      </c>
      <c r="J410" s="4">
        <f>ROUND(I410*74.85/74.11,2)</f>
        <v>63.23</v>
      </c>
      <c r="K410" s="4">
        <f t="shared" si="25"/>
        <v>63.29</v>
      </c>
      <c r="L410" s="16"/>
    </row>
    <row r="411" spans="1:12" ht="20.25" customHeight="1">
      <c r="A411" s="3">
        <v>409</v>
      </c>
      <c r="B411" s="8">
        <v>180069</v>
      </c>
      <c r="C411" s="9"/>
      <c r="D411" s="9" t="str">
        <f>"2018013003"</f>
        <v>2018013003</v>
      </c>
      <c r="E411" s="9">
        <v>43</v>
      </c>
      <c r="F411" s="9">
        <v>92</v>
      </c>
      <c r="G411" s="9">
        <f t="shared" si="26"/>
        <v>77.3</v>
      </c>
      <c r="H411" s="9" t="s">
        <v>22</v>
      </c>
      <c r="I411" s="4">
        <v>62.4</v>
      </c>
      <c r="J411" s="4">
        <f>ROUND(I411*74.85/76.58,2)</f>
        <v>60.99</v>
      </c>
      <c r="K411" s="4">
        <f t="shared" si="25"/>
        <v>63.05</v>
      </c>
      <c r="L411" s="16"/>
    </row>
    <row r="412" spans="1:12" ht="20.25" customHeight="1">
      <c r="A412" s="3">
        <v>410</v>
      </c>
      <c r="B412" s="8">
        <v>180069</v>
      </c>
      <c r="C412" s="9"/>
      <c r="D412" s="9" t="str">
        <f>"2018012803"</f>
        <v>2018012803</v>
      </c>
      <c r="E412" s="9">
        <v>42.5</v>
      </c>
      <c r="F412" s="9">
        <v>93</v>
      </c>
      <c r="G412" s="9">
        <f t="shared" si="26"/>
        <v>77.85</v>
      </c>
      <c r="H412" s="9" t="s">
        <v>21</v>
      </c>
      <c r="I412" s="4">
        <v>56.6</v>
      </c>
      <c r="J412" s="4">
        <f>ROUND(I412*74.85/71.05,2)</f>
        <v>59.63</v>
      </c>
      <c r="K412" s="4">
        <f t="shared" si="25"/>
        <v>62.78</v>
      </c>
      <c r="L412" s="16"/>
    </row>
    <row r="413" spans="1:12" ht="20.25" customHeight="1">
      <c r="A413" s="3">
        <v>411</v>
      </c>
      <c r="B413" s="8">
        <v>180069</v>
      </c>
      <c r="C413" s="9"/>
      <c r="D413" s="9" t="str">
        <f>"2018012504"</f>
        <v>2018012504</v>
      </c>
      <c r="E413" s="9">
        <v>25.5</v>
      </c>
      <c r="F413" s="9">
        <v>99</v>
      </c>
      <c r="G413" s="9">
        <f t="shared" si="26"/>
        <v>76.95</v>
      </c>
      <c r="H413" s="9" t="s">
        <v>21</v>
      </c>
      <c r="I413" s="4">
        <v>51.8</v>
      </c>
      <c r="J413" s="4">
        <f>ROUND(I413*74.85/71.05,2)</f>
        <v>54.57</v>
      </c>
      <c r="K413" s="4">
        <f t="shared" si="25"/>
        <v>60.3</v>
      </c>
      <c r="L413" s="16"/>
    </row>
    <row r="414" spans="1:12" ht="20.25" customHeight="1">
      <c r="A414" s="3">
        <v>412</v>
      </c>
      <c r="B414" s="8">
        <v>180069</v>
      </c>
      <c r="C414" s="12"/>
      <c r="D414" s="12" t="str">
        <f>"2018012913"</f>
        <v>2018012913</v>
      </c>
      <c r="E414" s="12">
        <v>29.5</v>
      </c>
      <c r="F414" s="12">
        <v>92</v>
      </c>
      <c r="G414" s="12">
        <f t="shared" si="26"/>
        <v>73.24999999999999</v>
      </c>
      <c r="H414" s="12" t="s">
        <v>21</v>
      </c>
      <c r="I414" s="4">
        <v>54.8</v>
      </c>
      <c r="J414" s="4">
        <f>ROUND(I414*74.85/71.05,2)</f>
        <v>57.73</v>
      </c>
      <c r="K414" s="4">
        <f t="shared" si="25"/>
        <v>59.72</v>
      </c>
      <c r="L414" s="16"/>
    </row>
    <row r="415" spans="1:12" ht="20.25" customHeight="1">
      <c r="A415" s="3">
        <v>413</v>
      </c>
      <c r="B415" s="8">
        <v>180069</v>
      </c>
      <c r="C415" s="9"/>
      <c r="D415" s="9" t="str">
        <f>"2018012930"</f>
        <v>2018012930</v>
      </c>
      <c r="E415" s="9">
        <v>55</v>
      </c>
      <c r="F415" s="9">
        <v>93</v>
      </c>
      <c r="G415" s="9">
        <f t="shared" si="26"/>
        <v>81.6</v>
      </c>
      <c r="H415" s="9"/>
      <c r="I415" s="4">
        <v>0</v>
      </c>
      <c r="J415" s="4">
        <v>0</v>
      </c>
      <c r="K415" s="4">
        <f t="shared" si="25"/>
        <v>40.8</v>
      </c>
      <c r="L415" s="16"/>
    </row>
    <row r="416" spans="1:12" ht="20.25" customHeight="1">
      <c r="A416" s="3">
        <v>414</v>
      </c>
      <c r="B416" s="8">
        <v>180069</v>
      </c>
      <c r="C416" s="9"/>
      <c r="D416" s="9" t="str">
        <f>"2018012610"</f>
        <v>2018012610</v>
      </c>
      <c r="E416" s="9">
        <v>46.5</v>
      </c>
      <c r="F416" s="9">
        <v>92</v>
      </c>
      <c r="G416" s="9">
        <f t="shared" si="26"/>
        <v>78.35</v>
      </c>
      <c r="H416" s="9"/>
      <c r="I416" s="4">
        <v>0</v>
      </c>
      <c r="J416" s="4">
        <v>0</v>
      </c>
      <c r="K416" s="4">
        <f t="shared" si="25"/>
        <v>39.18</v>
      </c>
      <c r="L416" s="16"/>
    </row>
    <row r="417" spans="1:12" ht="20.25" customHeight="1">
      <c r="A417" s="3">
        <v>415</v>
      </c>
      <c r="B417" s="8">
        <v>180069</v>
      </c>
      <c r="C417" s="9"/>
      <c r="D417" s="9" t="str">
        <f>"2018013116"</f>
        <v>2018013116</v>
      </c>
      <c r="E417" s="9">
        <v>55.5</v>
      </c>
      <c r="F417" s="9">
        <v>86</v>
      </c>
      <c r="G417" s="9">
        <f t="shared" si="26"/>
        <v>76.85</v>
      </c>
      <c r="H417" s="9"/>
      <c r="I417" s="4">
        <v>0</v>
      </c>
      <c r="J417" s="4">
        <v>0</v>
      </c>
      <c r="K417" s="4">
        <f t="shared" si="25"/>
        <v>38.43</v>
      </c>
      <c r="L417" s="16"/>
    </row>
    <row r="418" spans="1:12" ht="20.25" customHeight="1">
      <c r="A418" s="3">
        <v>416</v>
      </c>
      <c r="B418" s="8">
        <v>180069</v>
      </c>
      <c r="C418" s="9"/>
      <c r="D418" s="9" t="str">
        <f>"2018012515"</f>
        <v>2018012515</v>
      </c>
      <c r="E418" s="9">
        <v>37.5</v>
      </c>
      <c r="F418" s="9">
        <v>92</v>
      </c>
      <c r="G418" s="9">
        <f t="shared" si="26"/>
        <v>75.64999999999999</v>
      </c>
      <c r="H418" s="9"/>
      <c r="I418" s="4">
        <v>0</v>
      </c>
      <c r="J418" s="4">
        <v>0</v>
      </c>
      <c r="K418" s="4">
        <f t="shared" si="25"/>
        <v>37.83</v>
      </c>
      <c r="L418" s="16"/>
    </row>
    <row r="419" spans="1:12" ht="20.25" customHeight="1">
      <c r="A419" s="3">
        <v>417</v>
      </c>
      <c r="B419" s="8">
        <v>180069</v>
      </c>
      <c r="C419" s="9"/>
      <c r="D419" s="9" t="str">
        <f>"2018012417"</f>
        <v>2018012417</v>
      </c>
      <c r="E419" s="9">
        <v>27</v>
      </c>
      <c r="F419" s="9">
        <v>96</v>
      </c>
      <c r="G419" s="9">
        <f t="shared" si="26"/>
        <v>75.29999999999998</v>
      </c>
      <c r="H419" s="9"/>
      <c r="I419" s="4">
        <v>0</v>
      </c>
      <c r="J419" s="4">
        <v>0</v>
      </c>
      <c r="K419" s="4">
        <f t="shared" si="25"/>
        <v>37.65</v>
      </c>
      <c r="L419" s="16"/>
    </row>
    <row r="420" spans="1:12" ht="20.25" customHeight="1">
      <c r="A420" s="3">
        <v>418</v>
      </c>
      <c r="B420" s="8">
        <v>180069</v>
      </c>
      <c r="C420" s="9"/>
      <c r="D420" s="9" t="str">
        <f>"2018012408"</f>
        <v>2018012408</v>
      </c>
      <c r="E420" s="9">
        <v>31.5</v>
      </c>
      <c r="F420" s="9">
        <v>92</v>
      </c>
      <c r="G420" s="9">
        <f t="shared" si="26"/>
        <v>73.85</v>
      </c>
      <c r="H420" s="9"/>
      <c r="I420" s="4">
        <v>0</v>
      </c>
      <c r="J420" s="4">
        <v>0</v>
      </c>
      <c r="K420" s="4">
        <f t="shared" si="25"/>
        <v>36.93</v>
      </c>
      <c r="L420" s="17"/>
    </row>
    <row r="421" spans="1:12" ht="20.25" customHeight="1">
      <c r="A421" s="3">
        <v>419</v>
      </c>
      <c r="B421" s="8">
        <v>180071</v>
      </c>
      <c r="C421" s="9"/>
      <c r="D421" s="9" t="str">
        <f>"2018014003"</f>
        <v>2018014003</v>
      </c>
      <c r="E421" s="9">
        <v>48</v>
      </c>
      <c r="F421" s="9">
        <v>97</v>
      </c>
      <c r="G421" s="9">
        <f t="shared" si="26"/>
        <v>82.29999999999998</v>
      </c>
      <c r="H421" s="9"/>
      <c r="I421" s="4">
        <v>79.6</v>
      </c>
      <c r="J421" s="4">
        <f aca="true" t="shared" si="27" ref="J421:J435">I421</f>
        <v>79.6</v>
      </c>
      <c r="K421" s="4">
        <f t="shared" si="25"/>
        <v>72.99</v>
      </c>
      <c r="L421" s="4"/>
    </row>
    <row r="422" spans="1:12" ht="20.25" customHeight="1">
      <c r="A422" s="3">
        <v>420</v>
      </c>
      <c r="B422" s="8">
        <v>180071</v>
      </c>
      <c r="C422" s="9"/>
      <c r="D422" s="9" t="str">
        <f>"2018013526"</f>
        <v>2018013526</v>
      </c>
      <c r="E422" s="9">
        <v>66.5</v>
      </c>
      <c r="F422" s="9">
        <v>79</v>
      </c>
      <c r="G422" s="9">
        <f t="shared" si="26"/>
        <v>75.25</v>
      </c>
      <c r="H422" s="9"/>
      <c r="I422" s="4">
        <v>86</v>
      </c>
      <c r="J422" s="4">
        <f t="shared" si="27"/>
        <v>86</v>
      </c>
      <c r="K422" s="4">
        <f t="shared" si="25"/>
        <v>72.03</v>
      </c>
      <c r="L422" s="4"/>
    </row>
    <row r="423" spans="1:12" ht="20.25" customHeight="1">
      <c r="A423" s="3">
        <v>421</v>
      </c>
      <c r="B423" s="8">
        <v>180071</v>
      </c>
      <c r="C423" s="9"/>
      <c r="D423" s="9" t="str">
        <f>"2018014002"</f>
        <v>2018014002</v>
      </c>
      <c r="E423" s="9">
        <v>41.5</v>
      </c>
      <c r="F423" s="9">
        <v>93</v>
      </c>
      <c r="G423" s="9">
        <f t="shared" si="26"/>
        <v>77.55</v>
      </c>
      <c r="H423" s="9"/>
      <c r="I423" s="4">
        <v>80.6</v>
      </c>
      <c r="J423" s="4">
        <f t="shared" si="27"/>
        <v>80.6</v>
      </c>
      <c r="K423" s="4">
        <f t="shared" si="25"/>
        <v>71.02</v>
      </c>
      <c r="L423" s="4"/>
    </row>
    <row r="424" spans="1:12" ht="20.25" customHeight="1">
      <c r="A424" s="3">
        <v>422</v>
      </c>
      <c r="B424" s="8">
        <v>180071</v>
      </c>
      <c r="C424" s="9"/>
      <c r="D424" s="9" t="str">
        <f>"2018014001"</f>
        <v>2018014001</v>
      </c>
      <c r="E424" s="9">
        <v>46.5</v>
      </c>
      <c r="F424" s="9">
        <v>90</v>
      </c>
      <c r="G424" s="9">
        <f t="shared" si="26"/>
        <v>76.94999999999999</v>
      </c>
      <c r="H424" s="9"/>
      <c r="I424" s="4">
        <v>80.6</v>
      </c>
      <c r="J424" s="4">
        <f t="shared" si="27"/>
        <v>80.6</v>
      </c>
      <c r="K424" s="4">
        <f t="shared" si="25"/>
        <v>70.72</v>
      </c>
      <c r="L424" s="4"/>
    </row>
    <row r="425" spans="1:12" ht="20.25" customHeight="1">
      <c r="A425" s="3">
        <v>423</v>
      </c>
      <c r="B425" s="8">
        <v>180071</v>
      </c>
      <c r="C425" s="9"/>
      <c r="D425" s="9" t="str">
        <f>"2018014015"</f>
        <v>2018014015</v>
      </c>
      <c r="E425" s="9">
        <v>32</v>
      </c>
      <c r="F425" s="9">
        <v>86</v>
      </c>
      <c r="G425" s="9">
        <f t="shared" si="26"/>
        <v>69.8</v>
      </c>
      <c r="H425" s="9"/>
      <c r="I425" s="4">
        <v>73.4</v>
      </c>
      <c r="J425" s="4">
        <f t="shared" si="27"/>
        <v>73.4</v>
      </c>
      <c r="K425" s="4">
        <f t="shared" si="25"/>
        <v>64.26</v>
      </c>
      <c r="L425" s="4"/>
    </row>
    <row r="426" spans="1:12" ht="20.25" customHeight="1">
      <c r="A426" s="3">
        <v>424</v>
      </c>
      <c r="B426" s="8">
        <v>180071</v>
      </c>
      <c r="C426" s="12"/>
      <c r="D426" s="12" t="str">
        <f>"2018013525"</f>
        <v>2018013525</v>
      </c>
      <c r="E426" s="12">
        <v>33</v>
      </c>
      <c r="F426" s="12">
        <v>83</v>
      </c>
      <c r="G426" s="12">
        <f t="shared" si="26"/>
        <v>68</v>
      </c>
      <c r="H426" s="12"/>
      <c r="I426" s="4">
        <v>73</v>
      </c>
      <c r="J426" s="4">
        <f t="shared" si="27"/>
        <v>73</v>
      </c>
      <c r="K426" s="4">
        <f t="shared" si="25"/>
        <v>63.2</v>
      </c>
      <c r="L426" s="4"/>
    </row>
    <row r="427" spans="1:12" ht="20.25" customHeight="1">
      <c r="A427" s="3">
        <v>425</v>
      </c>
      <c r="B427" s="8">
        <v>180071</v>
      </c>
      <c r="C427" s="9"/>
      <c r="D427" s="9" t="str">
        <f>"2018014005"</f>
        <v>2018014005</v>
      </c>
      <c r="E427" s="9">
        <v>61.5</v>
      </c>
      <c r="F427" s="9">
        <v>76</v>
      </c>
      <c r="G427" s="9">
        <f t="shared" si="26"/>
        <v>71.64999999999999</v>
      </c>
      <c r="H427" s="9"/>
      <c r="I427" s="4">
        <v>68.4</v>
      </c>
      <c r="J427" s="4">
        <f t="shared" si="27"/>
        <v>68.4</v>
      </c>
      <c r="K427" s="4">
        <f t="shared" si="25"/>
        <v>63.19</v>
      </c>
      <c r="L427" s="4"/>
    </row>
    <row r="428" spans="1:12" ht="20.25" customHeight="1">
      <c r="A428" s="3">
        <v>426</v>
      </c>
      <c r="B428" s="8">
        <v>180071</v>
      </c>
      <c r="C428" s="9"/>
      <c r="D428" s="9" t="str">
        <f>"2018013522"</f>
        <v>2018013522</v>
      </c>
      <c r="E428" s="9">
        <v>45.5</v>
      </c>
      <c r="F428" s="9">
        <v>78</v>
      </c>
      <c r="G428" s="9">
        <f t="shared" si="26"/>
        <v>68.25</v>
      </c>
      <c r="H428" s="9"/>
      <c r="I428" s="4">
        <v>67.4</v>
      </c>
      <c r="J428" s="4">
        <f t="shared" si="27"/>
        <v>67.4</v>
      </c>
      <c r="K428" s="4">
        <f t="shared" si="25"/>
        <v>61.09</v>
      </c>
      <c r="L428" s="4"/>
    </row>
    <row r="429" spans="1:12" ht="20.25" customHeight="1">
      <c r="A429" s="3">
        <v>427</v>
      </c>
      <c r="B429" s="8">
        <v>180071</v>
      </c>
      <c r="C429" s="9"/>
      <c r="D429" s="9" t="str">
        <f>"2018014010"</f>
        <v>2018014010</v>
      </c>
      <c r="E429" s="9">
        <v>45</v>
      </c>
      <c r="F429" s="9">
        <v>83</v>
      </c>
      <c r="G429" s="9">
        <f t="shared" si="26"/>
        <v>71.6</v>
      </c>
      <c r="H429" s="9"/>
      <c r="I429" s="4">
        <v>61.4</v>
      </c>
      <c r="J429" s="4">
        <f t="shared" si="27"/>
        <v>61.4</v>
      </c>
      <c r="K429" s="4">
        <f t="shared" si="25"/>
        <v>60.36</v>
      </c>
      <c r="L429" s="4"/>
    </row>
    <row r="430" spans="1:12" ht="20.25" customHeight="1">
      <c r="A430" s="3">
        <v>428</v>
      </c>
      <c r="B430" s="8">
        <v>180071</v>
      </c>
      <c r="C430" s="9"/>
      <c r="D430" s="9" t="str">
        <f>"2018014006"</f>
        <v>2018014006</v>
      </c>
      <c r="E430" s="9">
        <v>50</v>
      </c>
      <c r="F430" s="9">
        <v>79</v>
      </c>
      <c r="G430" s="9">
        <f t="shared" si="26"/>
        <v>70.3</v>
      </c>
      <c r="H430" s="9"/>
      <c r="I430" s="4">
        <v>0</v>
      </c>
      <c r="J430" s="4">
        <f t="shared" si="27"/>
        <v>0</v>
      </c>
      <c r="K430" s="4">
        <f t="shared" si="25"/>
        <v>35.15</v>
      </c>
      <c r="L430" s="4"/>
    </row>
    <row r="431" spans="1:12" ht="20.25" customHeight="1">
      <c r="A431" s="3">
        <v>429</v>
      </c>
      <c r="B431" s="8">
        <v>180071</v>
      </c>
      <c r="C431" s="9"/>
      <c r="D431" s="9" t="str">
        <f>"2018014013"</f>
        <v>2018014013</v>
      </c>
      <c r="E431" s="9">
        <v>66</v>
      </c>
      <c r="F431" s="9">
        <v>72</v>
      </c>
      <c r="G431" s="9">
        <f>E431*0.3+F431*0.7</f>
        <v>70.2</v>
      </c>
      <c r="H431" s="9"/>
      <c r="I431" s="4">
        <v>0</v>
      </c>
      <c r="J431" s="4">
        <f t="shared" si="27"/>
        <v>0</v>
      </c>
      <c r="K431" s="4">
        <f t="shared" si="25"/>
        <v>35.1</v>
      </c>
      <c r="L431" s="4"/>
    </row>
    <row r="432" spans="1:12" ht="20.25" customHeight="1">
      <c r="A432" s="3">
        <v>430</v>
      </c>
      <c r="B432" s="8">
        <v>180071</v>
      </c>
      <c r="C432" s="12"/>
      <c r="D432" s="12" t="str">
        <f>"2018014016"</f>
        <v>2018014016</v>
      </c>
      <c r="E432" s="12">
        <v>43</v>
      </c>
      <c r="F432" s="12">
        <v>79</v>
      </c>
      <c r="G432" s="12">
        <f>E432*0.3+F432*0.7</f>
        <v>68.2</v>
      </c>
      <c r="H432" s="12"/>
      <c r="I432" s="4">
        <v>0</v>
      </c>
      <c r="J432" s="4">
        <f t="shared" si="27"/>
        <v>0</v>
      </c>
      <c r="K432" s="4">
        <f t="shared" si="25"/>
        <v>34.1</v>
      </c>
      <c r="L432" s="4"/>
    </row>
    <row r="433" spans="1:12" ht="20.25" customHeight="1">
      <c r="A433" s="3">
        <v>431</v>
      </c>
      <c r="B433" s="3">
        <v>180072</v>
      </c>
      <c r="C433" s="9"/>
      <c r="D433" s="9" t="str">
        <f>"2018014025"</f>
        <v>2018014025</v>
      </c>
      <c r="E433" s="9">
        <v>56.5</v>
      </c>
      <c r="F433" s="9">
        <v>65</v>
      </c>
      <c r="G433" s="9">
        <f>E433*0.3+F433*0.7</f>
        <v>62.45</v>
      </c>
      <c r="H433" s="9"/>
      <c r="I433" s="4">
        <v>78</v>
      </c>
      <c r="J433" s="4">
        <f t="shared" si="27"/>
        <v>78</v>
      </c>
      <c r="K433" s="4">
        <f t="shared" si="25"/>
        <v>62.43</v>
      </c>
      <c r="L433" s="4"/>
    </row>
    <row r="434" spans="1:12" ht="20.25" customHeight="1">
      <c r="A434" s="3">
        <v>432</v>
      </c>
      <c r="B434" s="3">
        <v>180072</v>
      </c>
      <c r="C434" s="12"/>
      <c r="D434" s="12" t="str">
        <f>"2018014026"</f>
        <v>2018014026</v>
      </c>
      <c r="E434" s="12">
        <v>60</v>
      </c>
      <c r="F434" s="12">
        <v>71</v>
      </c>
      <c r="G434" s="12">
        <f>E434*0.3+F434*0.7</f>
        <v>67.69999999999999</v>
      </c>
      <c r="H434" s="12"/>
      <c r="I434" s="4">
        <v>70</v>
      </c>
      <c r="J434" s="4">
        <f t="shared" si="27"/>
        <v>70</v>
      </c>
      <c r="K434" s="4">
        <f t="shared" si="25"/>
        <v>61.85</v>
      </c>
      <c r="L434" s="4"/>
    </row>
    <row r="435" spans="1:12" ht="20.25" customHeight="1">
      <c r="A435" s="3">
        <v>433</v>
      </c>
      <c r="B435" s="8">
        <v>180074</v>
      </c>
      <c r="C435" s="9"/>
      <c r="D435" s="9" t="str">
        <f>"2018014029"</f>
        <v>2018014029</v>
      </c>
      <c r="E435" s="9">
        <v>63</v>
      </c>
      <c r="F435" s="9">
        <v>61</v>
      </c>
      <c r="G435" s="9">
        <f>E435*0.3+F435*0.7</f>
        <v>61.599999999999994</v>
      </c>
      <c r="H435" s="9"/>
      <c r="I435" s="4">
        <v>79.4</v>
      </c>
      <c r="J435" s="4">
        <f t="shared" si="27"/>
        <v>79.4</v>
      </c>
      <c r="K435" s="4">
        <f t="shared" si="25"/>
        <v>62.56</v>
      </c>
      <c r="L435" s="4"/>
    </row>
  </sheetData>
  <sheetProtection/>
  <mergeCells count="4">
    <mergeCell ref="L4:L61"/>
    <mergeCell ref="L102:L221"/>
    <mergeCell ref="L301:L420"/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微软用户</cp:lastModifiedBy>
  <cp:lastPrinted>2018-05-10T03:18:34Z</cp:lastPrinted>
  <dcterms:created xsi:type="dcterms:W3CDTF">2018-03-26T06:28:53Z</dcterms:created>
  <dcterms:modified xsi:type="dcterms:W3CDTF">2018-05-14T03:45:22Z</dcterms:modified>
  <cp:category/>
  <cp:version/>
  <cp:contentType/>
  <cp:contentStatus/>
</cp:coreProperties>
</file>