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1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<sst xmlns="http://schemas.openxmlformats.org/spreadsheetml/2006/main" count="123" uniqueCount="24">
  <si>
    <t>报考岗位</t>
  </si>
  <si>
    <t>姓名</t>
  </si>
  <si>
    <t>准考证号</t>
  </si>
  <si>
    <t>序号</t>
  </si>
  <si>
    <t>总成绩</t>
  </si>
  <si>
    <t>笔试
综合成绩</t>
  </si>
  <si>
    <t>公共基础知识
成绩</t>
  </si>
  <si>
    <t>专业知识
成绩</t>
  </si>
  <si>
    <t>面试
原始成绩</t>
  </si>
  <si>
    <t>G</t>
  </si>
  <si>
    <t>H</t>
  </si>
  <si>
    <t>F</t>
  </si>
  <si>
    <t>I</t>
  </si>
  <si>
    <t>J</t>
  </si>
  <si>
    <t>E</t>
  </si>
  <si>
    <t>D</t>
  </si>
  <si>
    <t>C</t>
  </si>
  <si>
    <t>B</t>
  </si>
  <si>
    <t>A</t>
  </si>
  <si>
    <t>B</t>
  </si>
  <si>
    <t>考场号</t>
  </si>
  <si>
    <t>面试最终成绩</t>
  </si>
  <si>
    <t>2018年涡阳县县级公立医院公开招聘人员考察体检人员名单</t>
  </si>
  <si>
    <t>李雪梅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</si>
</sst>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7"/>
  <sheetViews>
    <sheetView tabSelected="1" zoomScalePageLayoutView="0" workbookViewId="0" topLeftCell="A145">
      <selection activeCell="R12" sqref="R12"/>
    </sheetView>
  </sheetViews>
  <sheetFormatPr defaultColWidth="9.00390625" defaultRowHeight="14.25"/>
  <cols>
    <col min="1" max="1" width="5.25390625" style="1" customWidth="1"/>
    <col min="2" max="2" width="8.25390625" style="1" customWidth="1"/>
    <col min="3" max="3" width="0.12890625" style="1" customWidth="1"/>
    <col min="4" max="4" width="10.75390625" style="1" customWidth="1"/>
    <col min="5" max="5" width="9.00390625" style="1" customWidth="1"/>
    <col min="6" max="6" width="8.00390625" style="1" customWidth="1"/>
    <col min="7" max="7" width="9.00390625" style="1" customWidth="1"/>
    <col min="8" max="8" width="6.375" style="1" hidden="1" customWidth="1"/>
    <col min="9" max="9" width="9.00390625" style="1" customWidth="1"/>
    <col min="10" max="10" width="9.625" style="1" customWidth="1"/>
    <col min="11" max="11" width="9.125" style="1" customWidth="1"/>
    <col min="12" max="16384" width="9.00390625" style="1" customWidth="1"/>
  </cols>
  <sheetData>
    <row r="1" spans="1:11" ht="28.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2.75">
      <c r="A2" s="2" t="s">
        <v>3</v>
      </c>
      <c r="B2" s="5" t="s">
        <v>0</v>
      </c>
      <c r="C2" s="6" t="s">
        <v>1</v>
      </c>
      <c r="D2" s="6" t="s">
        <v>2</v>
      </c>
      <c r="E2" s="7" t="s">
        <v>6</v>
      </c>
      <c r="F2" s="7" t="s">
        <v>7</v>
      </c>
      <c r="G2" s="7" t="s">
        <v>5</v>
      </c>
      <c r="H2" s="6" t="s">
        <v>20</v>
      </c>
      <c r="I2" s="10" t="s">
        <v>8</v>
      </c>
      <c r="J2" s="10" t="s">
        <v>21</v>
      </c>
      <c r="K2" s="2" t="s">
        <v>4</v>
      </c>
    </row>
    <row r="3" spans="1:11" ht="20.25" customHeight="1">
      <c r="A3" s="3">
        <v>1</v>
      </c>
      <c r="B3" s="3">
        <v>180011</v>
      </c>
      <c r="C3" s="3"/>
      <c r="D3" s="3" t="s">
        <v>23</v>
      </c>
      <c r="E3" s="3"/>
      <c r="F3" s="3"/>
      <c r="G3" s="3"/>
      <c r="H3" s="3"/>
      <c r="I3" s="3">
        <v>80.8</v>
      </c>
      <c r="J3" s="3">
        <f>I3</f>
        <v>80.8</v>
      </c>
      <c r="K3" s="4">
        <v>80.8</v>
      </c>
    </row>
    <row r="4" spans="1:11" ht="20.25" customHeight="1">
      <c r="A4" s="3">
        <v>2</v>
      </c>
      <c r="B4" s="8">
        <v>180012</v>
      </c>
      <c r="C4" s="9"/>
      <c r="D4" s="9" t="str">
        <f>"2018010312"</f>
        <v>2018010312</v>
      </c>
      <c r="E4" s="9">
        <v>63</v>
      </c>
      <c r="F4" s="9">
        <v>87</v>
      </c>
      <c r="G4" s="9">
        <f aca="true" t="shared" si="0" ref="G4:G33">E4*0.3+F4*0.7</f>
        <v>79.8</v>
      </c>
      <c r="H4" s="9" t="s">
        <v>19</v>
      </c>
      <c r="I4" s="4">
        <v>85.6</v>
      </c>
      <c r="J4" s="4">
        <v>84.74</v>
      </c>
      <c r="K4" s="4">
        <f aca="true" t="shared" si="1" ref="K4:K34">ROUND(G4/1.2*0.6+J4*0.4,2)</f>
        <v>73.8</v>
      </c>
    </row>
    <row r="5" spans="1:11" ht="20.25" customHeight="1">
      <c r="A5" s="3">
        <v>3</v>
      </c>
      <c r="B5" s="8">
        <v>180012</v>
      </c>
      <c r="C5" s="9"/>
      <c r="D5" s="9" t="str">
        <f>"2018010321"</f>
        <v>2018010321</v>
      </c>
      <c r="E5" s="9">
        <v>77</v>
      </c>
      <c r="F5" s="9">
        <v>84</v>
      </c>
      <c r="G5" s="9">
        <f t="shared" si="0"/>
        <v>81.89999999999999</v>
      </c>
      <c r="H5" s="9" t="s">
        <v>18</v>
      </c>
      <c r="I5" s="4">
        <v>80</v>
      </c>
      <c r="J5" s="4">
        <v>80.79</v>
      </c>
      <c r="K5" s="4">
        <f t="shared" si="1"/>
        <v>73.27</v>
      </c>
    </row>
    <row r="6" spans="1:11" ht="20.25" customHeight="1">
      <c r="A6" s="3">
        <v>4</v>
      </c>
      <c r="B6" s="8">
        <v>180012</v>
      </c>
      <c r="C6" s="9"/>
      <c r="D6" s="9" t="str">
        <f>"2018010226"</f>
        <v>2018010226</v>
      </c>
      <c r="E6" s="9">
        <v>55</v>
      </c>
      <c r="F6" s="9">
        <v>99</v>
      </c>
      <c r="G6" s="9">
        <f t="shared" si="0"/>
        <v>85.8</v>
      </c>
      <c r="H6" s="9" t="s">
        <v>17</v>
      </c>
      <c r="I6" s="4">
        <v>73.8</v>
      </c>
      <c r="J6" s="4">
        <v>73.06</v>
      </c>
      <c r="K6" s="4">
        <f t="shared" si="1"/>
        <v>72.12</v>
      </c>
    </row>
    <row r="7" spans="1:11" ht="20.25" customHeight="1">
      <c r="A7" s="3">
        <v>5</v>
      </c>
      <c r="B7" s="8">
        <v>180012</v>
      </c>
      <c r="C7" s="9"/>
      <c r="D7" s="9" t="str">
        <f>"2018010225"</f>
        <v>2018010225</v>
      </c>
      <c r="E7" s="9">
        <v>64.5</v>
      </c>
      <c r="F7" s="9">
        <v>85</v>
      </c>
      <c r="G7" s="9">
        <f t="shared" si="0"/>
        <v>78.85</v>
      </c>
      <c r="H7" s="9" t="s">
        <v>19</v>
      </c>
      <c r="I7" s="4">
        <v>82.2</v>
      </c>
      <c r="J7" s="4">
        <v>81.37</v>
      </c>
      <c r="K7" s="4">
        <f t="shared" si="1"/>
        <v>71.97</v>
      </c>
    </row>
    <row r="8" spans="1:11" ht="20.25" customHeight="1">
      <c r="A8" s="3">
        <v>6</v>
      </c>
      <c r="B8" s="8">
        <v>180012</v>
      </c>
      <c r="C8" s="9"/>
      <c r="D8" s="9" t="str">
        <f>"2018010105"</f>
        <v>2018010105</v>
      </c>
      <c r="E8" s="9">
        <v>66</v>
      </c>
      <c r="F8" s="9">
        <v>77</v>
      </c>
      <c r="G8" s="9">
        <f t="shared" si="0"/>
        <v>73.7</v>
      </c>
      <c r="H8" s="9" t="s">
        <v>18</v>
      </c>
      <c r="I8" s="4">
        <v>86.6</v>
      </c>
      <c r="J8" s="4">
        <v>87.45</v>
      </c>
      <c r="K8" s="4">
        <f t="shared" si="1"/>
        <v>71.83</v>
      </c>
    </row>
    <row r="9" spans="1:11" ht="20.25" customHeight="1">
      <c r="A9" s="3">
        <v>7</v>
      </c>
      <c r="B9" s="8">
        <v>180012</v>
      </c>
      <c r="C9" s="9"/>
      <c r="D9" s="9" t="str">
        <f>"2018010230"</f>
        <v>2018010230</v>
      </c>
      <c r="E9" s="9">
        <v>74.5</v>
      </c>
      <c r="F9" s="9">
        <v>85</v>
      </c>
      <c r="G9" s="9">
        <f t="shared" si="0"/>
        <v>81.85</v>
      </c>
      <c r="H9" s="9" t="s">
        <v>19</v>
      </c>
      <c r="I9" s="4">
        <v>76.6</v>
      </c>
      <c r="J9" s="4">
        <v>75.83</v>
      </c>
      <c r="K9" s="4">
        <f t="shared" si="1"/>
        <v>71.26</v>
      </c>
    </row>
    <row r="10" spans="1:11" ht="20.25" customHeight="1">
      <c r="A10" s="3">
        <v>8</v>
      </c>
      <c r="B10" s="8">
        <v>180012</v>
      </c>
      <c r="C10" s="9"/>
      <c r="D10" s="9" t="str">
        <f>"2018010123"</f>
        <v>2018010123</v>
      </c>
      <c r="E10" s="9">
        <v>52</v>
      </c>
      <c r="F10" s="9">
        <v>93</v>
      </c>
      <c r="G10" s="9">
        <f t="shared" si="0"/>
        <v>80.69999999999999</v>
      </c>
      <c r="H10" s="9" t="s">
        <v>19</v>
      </c>
      <c r="I10" s="4">
        <v>78</v>
      </c>
      <c r="J10" s="4">
        <v>77.22</v>
      </c>
      <c r="K10" s="4">
        <f t="shared" si="1"/>
        <v>71.24</v>
      </c>
    </row>
    <row r="11" spans="1:11" ht="20.25" customHeight="1">
      <c r="A11" s="3">
        <v>9</v>
      </c>
      <c r="B11" s="8">
        <v>180012</v>
      </c>
      <c r="C11" s="9"/>
      <c r="D11" s="9" t="str">
        <f>"2018010307"</f>
        <v>2018010307</v>
      </c>
      <c r="E11" s="9">
        <v>57.5</v>
      </c>
      <c r="F11" s="9">
        <v>83</v>
      </c>
      <c r="G11" s="9">
        <f t="shared" si="0"/>
        <v>75.35</v>
      </c>
      <c r="H11" s="9" t="s">
        <v>18</v>
      </c>
      <c r="I11" s="4">
        <v>80.1</v>
      </c>
      <c r="J11" s="4">
        <v>80.89</v>
      </c>
      <c r="K11" s="4">
        <f t="shared" si="1"/>
        <v>70.03</v>
      </c>
    </row>
    <row r="12" spans="1:11" ht="20.25" customHeight="1">
      <c r="A12" s="3">
        <v>10</v>
      </c>
      <c r="B12" s="8">
        <v>180012</v>
      </c>
      <c r="C12" s="9"/>
      <c r="D12" s="9" t="str">
        <f>"2018010303"</f>
        <v>2018010303</v>
      </c>
      <c r="E12" s="9">
        <v>74</v>
      </c>
      <c r="F12" s="9">
        <v>88</v>
      </c>
      <c r="G12" s="9">
        <f t="shared" si="0"/>
        <v>83.8</v>
      </c>
      <c r="H12" s="9" t="s">
        <v>18</v>
      </c>
      <c r="I12" s="4">
        <v>69.2</v>
      </c>
      <c r="J12" s="4">
        <v>69.88</v>
      </c>
      <c r="K12" s="4">
        <f t="shared" si="1"/>
        <v>69.85</v>
      </c>
    </row>
    <row r="13" spans="1:11" ht="20.25" customHeight="1">
      <c r="A13" s="3">
        <v>11</v>
      </c>
      <c r="B13" s="8">
        <v>180012</v>
      </c>
      <c r="C13" s="9"/>
      <c r="D13" s="9" t="str">
        <f>"2018010210"</f>
        <v>2018010210</v>
      </c>
      <c r="E13" s="9">
        <v>74.5</v>
      </c>
      <c r="F13" s="9">
        <v>83</v>
      </c>
      <c r="G13" s="9">
        <f t="shared" si="0"/>
        <v>80.44999999999999</v>
      </c>
      <c r="H13" s="9" t="s">
        <v>19</v>
      </c>
      <c r="I13" s="4">
        <v>74.4</v>
      </c>
      <c r="J13" s="4">
        <v>73.65</v>
      </c>
      <c r="K13" s="4">
        <f t="shared" si="1"/>
        <v>69.69</v>
      </c>
    </row>
    <row r="14" spans="1:11" ht="20.25" customHeight="1">
      <c r="A14" s="3">
        <v>12</v>
      </c>
      <c r="B14" s="8">
        <v>180012</v>
      </c>
      <c r="C14" s="9"/>
      <c r="D14" s="9" t="str">
        <f>"2018010127"</f>
        <v>2018010127</v>
      </c>
      <c r="E14" s="9">
        <v>57.5</v>
      </c>
      <c r="F14" s="9">
        <v>88</v>
      </c>
      <c r="G14" s="9">
        <f t="shared" si="0"/>
        <v>78.85</v>
      </c>
      <c r="H14" s="9" t="s">
        <v>18</v>
      </c>
      <c r="I14" s="4">
        <v>74.7</v>
      </c>
      <c r="J14" s="4">
        <v>75.44</v>
      </c>
      <c r="K14" s="4">
        <f t="shared" si="1"/>
        <v>69.6</v>
      </c>
    </row>
    <row r="15" spans="1:11" ht="20.25" customHeight="1">
      <c r="A15" s="3">
        <v>13</v>
      </c>
      <c r="B15" s="8">
        <v>180012</v>
      </c>
      <c r="C15" s="9"/>
      <c r="D15" s="9" t="str">
        <f>"2018010216"</f>
        <v>2018010216</v>
      </c>
      <c r="E15" s="9">
        <v>50</v>
      </c>
      <c r="F15" s="9">
        <v>82</v>
      </c>
      <c r="G15" s="9">
        <f t="shared" si="0"/>
        <v>72.4</v>
      </c>
      <c r="H15" s="9" t="s">
        <v>18</v>
      </c>
      <c r="I15" s="4">
        <v>82.7</v>
      </c>
      <c r="J15" s="4">
        <v>83.51</v>
      </c>
      <c r="K15" s="4">
        <f t="shared" si="1"/>
        <v>69.6</v>
      </c>
    </row>
    <row r="16" spans="1:11" ht="20.25" customHeight="1">
      <c r="A16" s="3">
        <v>14</v>
      </c>
      <c r="B16" s="8">
        <v>180012</v>
      </c>
      <c r="C16" s="9"/>
      <c r="D16" s="9" t="str">
        <f>"2018010327"</f>
        <v>2018010327</v>
      </c>
      <c r="E16" s="9">
        <v>57</v>
      </c>
      <c r="F16" s="9">
        <v>83</v>
      </c>
      <c r="G16" s="9">
        <f t="shared" si="0"/>
        <v>75.19999999999999</v>
      </c>
      <c r="H16" s="9" t="s">
        <v>19</v>
      </c>
      <c r="I16" s="4">
        <v>79.8</v>
      </c>
      <c r="J16" s="4">
        <v>79</v>
      </c>
      <c r="K16" s="4">
        <f t="shared" si="1"/>
        <v>69.2</v>
      </c>
    </row>
    <row r="17" spans="1:11" ht="20.25" customHeight="1">
      <c r="A17" s="3">
        <v>15</v>
      </c>
      <c r="B17" s="8">
        <v>180012</v>
      </c>
      <c r="C17" s="9"/>
      <c r="D17" s="9" t="str">
        <f>"2018010213"</f>
        <v>2018010213</v>
      </c>
      <c r="E17" s="9">
        <v>65.5</v>
      </c>
      <c r="F17" s="9">
        <v>73</v>
      </c>
      <c r="G17" s="9">
        <f t="shared" si="0"/>
        <v>70.75</v>
      </c>
      <c r="H17" s="9" t="s">
        <v>18</v>
      </c>
      <c r="I17" s="4">
        <v>83.4</v>
      </c>
      <c r="J17" s="4">
        <v>84.22</v>
      </c>
      <c r="K17" s="4">
        <f t="shared" si="1"/>
        <v>69.06</v>
      </c>
    </row>
    <row r="18" spans="1:11" ht="20.25" customHeight="1">
      <c r="A18" s="3">
        <v>16</v>
      </c>
      <c r="B18" s="8">
        <v>180012</v>
      </c>
      <c r="C18" s="9"/>
      <c r="D18" s="9" t="str">
        <f>"2018010313"</f>
        <v>2018010313</v>
      </c>
      <c r="E18" s="9">
        <v>73.5</v>
      </c>
      <c r="F18" s="9">
        <v>78</v>
      </c>
      <c r="G18" s="9">
        <f t="shared" si="0"/>
        <v>76.64999999999999</v>
      </c>
      <c r="H18" s="9" t="s">
        <v>19</v>
      </c>
      <c r="I18" s="4">
        <v>77.6</v>
      </c>
      <c r="J18" s="4">
        <v>76.82</v>
      </c>
      <c r="K18" s="4">
        <f t="shared" si="1"/>
        <v>69.05</v>
      </c>
    </row>
    <row r="19" spans="1:11" ht="20.25" customHeight="1">
      <c r="A19" s="3">
        <v>17</v>
      </c>
      <c r="B19" s="8">
        <v>180012</v>
      </c>
      <c r="C19" s="9"/>
      <c r="D19" s="9" t="str">
        <f>"2018010107"</f>
        <v>2018010107</v>
      </c>
      <c r="E19" s="9">
        <v>55</v>
      </c>
      <c r="F19" s="9">
        <v>82</v>
      </c>
      <c r="G19" s="9">
        <f t="shared" si="0"/>
        <v>73.9</v>
      </c>
      <c r="H19" s="9" t="s">
        <v>18</v>
      </c>
      <c r="I19" s="4">
        <v>79.2</v>
      </c>
      <c r="J19" s="4">
        <v>79.98</v>
      </c>
      <c r="K19" s="4">
        <f t="shared" si="1"/>
        <v>68.94</v>
      </c>
    </row>
    <row r="20" spans="1:11" ht="20.25" customHeight="1">
      <c r="A20" s="3">
        <v>18</v>
      </c>
      <c r="B20" s="8">
        <v>180012</v>
      </c>
      <c r="C20" s="9"/>
      <c r="D20" s="9" t="str">
        <f>"2018010114"</f>
        <v>2018010114</v>
      </c>
      <c r="E20" s="9">
        <v>73</v>
      </c>
      <c r="F20" s="9">
        <v>78</v>
      </c>
      <c r="G20" s="9">
        <f t="shared" si="0"/>
        <v>76.5</v>
      </c>
      <c r="H20" s="9" t="s">
        <v>19</v>
      </c>
      <c r="I20" s="4">
        <v>77.4</v>
      </c>
      <c r="J20" s="4">
        <v>76.62</v>
      </c>
      <c r="K20" s="4">
        <f t="shared" si="1"/>
        <v>68.9</v>
      </c>
    </row>
    <row r="21" spans="1:11" ht="20.25" customHeight="1">
      <c r="A21" s="3">
        <v>19</v>
      </c>
      <c r="B21" s="8">
        <v>180012</v>
      </c>
      <c r="C21" s="9"/>
      <c r="D21" s="9" t="str">
        <f>"2018010102"</f>
        <v>2018010102</v>
      </c>
      <c r="E21" s="9">
        <v>58.5</v>
      </c>
      <c r="F21" s="9">
        <v>83</v>
      </c>
      <c r="G21" s="9">
        <f t="shared" si="0"/>
        <v>75.64999999999999</v>
      </c>
      <c r="H21" s="9" t="s">
        <v>19</v>
      </c>
      <c r="I21" s="4">
        <v>77.3</v>
      </c>
      <c r="J21" s="4">
        <v>76.52</v>
      </c>
      <c r="K21" s="4">
        <f t="shared" si="1"/>
        <v>68.43</v>
      </c>
    </row>
    <row r="22" spans="1:11" ht="20.25" customHeight="1">
      <c r="A22" s="3">
        <v>20</v>
      </c>
      <c r="B22" s="8">
        <v>180012</v>
      </c>
      <c r="C22" s="9"/>
      <c r="D22" s="9" t="str">
        <f>"2018010304"</f>
        <v>2018010304</v>
      </c>
      <c r="E22" s="9">
        <v>57.5</v>
      </c>
      <c r="F22" s="9">
        <v>79</v>
      </c>
      <c r="G22" s="9">
        <f t="shared" si="0"/>
        <v>72.55</v>
      </c>
      <c r="H22" s="9" t="s">
        <v>19</v>
      </c>
      <c r="I22" s="4">
        <v>81</v>
      </c>
      <c r="J22" s="4">
        <v>80.19</v>
      </c>
      <c r="K22" s="4">
        <f t="shared" si="1"/>
        <v>68.35</v>
      </c>
    </row>
    <row r="23" spans="1:11" ht="20.25" customHeight="1">
      <c r="A23" s="3">
        <v>21</v>
      </c>
      <c r="B23" s="8">
        <v>180012</v>
      </c>
      <c r="C23" s="9"/>
      <c r="D23" s="9" t="str">
        <f>"2018010324"</f>
        <v>2018010324</v>
      </c>
      <c r="E23" s="9">
        <v>57</v>
      </c>
      <c r="F23" s="9">
        <v>80</v>
      </c>
      <c r="G23" s="9">
        <f t="shared" si="0"/>
        <v>73.1</v>
      </c>
      <c r="H23" s="9" t="s">
        <v>18</v>
      </c>
      <c r="I23" s="4">
        <v>78</v>
      </c>
      <c r="J23" s="4">
        <v>78.77</v>
      </c>
      <c r="K23" s="4">
        <f t="shared" si="1"/>
        <v>68.06</v>
      </c>
    </row>
    <row r="24" spans="1:11" ht="20.25" customHeight="1">
      <c r="A24" s="3">
        <v>22</v>
      </c>
      <c r="B24" s="8">
        <v>180012</v>
      </c>
      <c r="C24" s="9"/>
      <c r="D24" s="9" t="str">
        <f>"2018010318"</f>
        <v>2018010318</v>
      </c>
      <c r="E24" s="9">
        <v>50</v>
      </c>
      <c r="F24" s="9">
        <v>76</v>
      </c>
      <c r="G24" s="9">
        <f t="shared" si="0"/>
        <v>68.19999999999999</v>
      </c>
      <c r="H24" s="9" t="s">
        <v>18</v>
      </c>
      <c r="I24" s="4">
        <v>83.3</v>
      </c>
      <c r="J24" s="4">
        <v>84.12</v>
      </c>
      <c r="K24" s="4">
        <f t="shared" si="1"/>
        <v>67.75</v>
      </c>
    </row>
    <row r="25" spans="1:11" ht="20.25" customHeight="1">
      <c r="A25" s="3">
        <v>23</v>
      </c>
      <c r="B25" s="8">
        <v>180012</v>
      </c>
      <c r="C25" s="9"/>
      <c r="D25" s="9" t="str">
        <f>"2018010121"</f>
        <v>2018010121</v>
      </c>
      <c r="E25" s="9">
        <v>51.5</v>
      </c>
      <c r="F25" s="9">
        <v>83</v>
      </c>
      <c r="G25" s="9">
        <f t="shared" si="0"/>
        <v>73.55</v>
      </c>
      <c r="H25" s="9" t="s">
        <v>19</v>
      </c>
      <c r="I25" s="4">
        <v>78</v>
      </c>
      <c r="J25" s="4">
        <v>77.22</v>
      </c>
      <c r="K25" s="4">
        <f t="shared" si="1"/>
        <v>67.66</v>
      </c>
    </row>
    <row r="26" spans="1:11" ht="20.25" customHeight="1">
      <c r="A26" s="3">
        <v>24</v>
      </c>
      <c r="B26" s="8">
        <v>180012</v>
      </c>
      <c r="C26" s="9"/>
      <c r="D26" s="9" t="str">
        <f>"2018010118"</f>
        <v>2018010118</v>
      </c>
      <c r="E26" s="9">
        <v>59.5</v>
      </c>
      <c r="F26" s="9">
        <v>82</v>
      </c>
      <c r="G26" s="9">
        <f t="shared" si="0"/>
        <v>75.25</v>
      </c>
      <c r="H26" s="9" t="s">
        <v>19</v>
      </c>
      <c r="I26" s="4">
        <v>75.8</v>
      </c>
      <c r="J26" s="4">
        <v>75.04</v>
      </c>
      <c r="K26" s="4">
        <f t="shared" si="1"/>
        <v>67.64</v>
      </c>
    </row>
    <row r="27" spans="1:11" ht="20.25" customHeight="1">
      <c r="A27" s="3">
        <v>25</v>
      </c>
      <c r="B27" s="8">
        <v>180012</v>
      </c>
      <c r="C27" s="9"/>
      <c r="D27" s="9" t="str">
        <f>"2018010214"</f>
        <v>2018010214</v>
      </c>
      <c r="E27" s="9">
        <v>62.5</v>
      </c>
      <c r="F27" s="9">
        <v>78</v>
      </c>
      <c r="G27" s="9">
        <f t="shared" si="0"/>
        <v>73.35</v>
      </c>
      <c r="H27" s="9" t="s">
        <v>19</v>
      </c>
      <c r="I27" s="4">
        <v>78.2</v>
      </c>
      <c r="J27" s="4">
        <v>77.41</v>
      </c>
      <c r="K27" s="4">
        <f t="shared" si="1"/>
        <v>67.64</v>
      </c>
    </row>
    <row r="28" spans="1:11" ht="20.25" customHeight="1">
      <c r="A28" s="3">
        <v>26</v>
      </c>
      <c r="B28" s="8">
        <v>180012</v>
      </c>
      <c r="C28" s="9"/>
      <c r="D28" s="9" t="str">
        <f>"2018010110"</f>
        <v>2018010110</v>
      </c>
      <c r="E28" s="9">
        <v>60.5</v>
      </c>
      <c r="F28" s="9">
        <v>80</v>
      </c>
      <c r="G28" s="9">
        <f t="shared" si="0"/>
        <v>74.15</v>
      </c>
      <c r="H28" s="9" t="s">
        <v>19</v>
      </c>
      <c r="I28" s="4">
        <v>76.6</v>
      </c>
      <c r="J28" s="4">
        <v>75.83</v>
      </c>
      <c r="K28" s="4">
        <f t="shared" si="1"/>
        <v>67.41</v>
      </c>
    </row>
    <row r="29" spans="1:11" ht="20.25" customHeight="1">
      <c r="A29" s="3">
        <v>27</v>
      </c>
      <c r="B29" s="8">
        <v>180012</v>
      </c>
      <c r="C29" s="9"/>
      <c r="D29" s="9" t="str">
        <f>"2018010311"</f>
        <v>2018010311</v>
      </c>
      <c r="E29" s="9">
        <v>52</v>
      </c>
      <c r="F29" s="9">
        <v>83</v>
      </c>
      <c r="G29" s="9">
        <f t="shared" si="0"/>
        <v>73.69999999999999</v>
      </c>
      <c r="H29" s="9" t="s">
        <v>19</v>
      </c>
      <c r="I29" s="4">
        <v>76.4</v>
      </c>
      <c r="J29" s="4">
        <v>75.63</v>
      </c>
      <c r="K29" s="4">
        <f t="shared" si="1"/>
        <v>67.1</v>
      </c>
    </row>
    <row r="30" spans="1:11" ht="20.25" customHeight="1">
      <c r="A30" s="3">
        <v>28</v>
      </c>
      <c r="B30" s="8">
        <v>180012</v>
      </c>
      <c r="C30" s="9"/>
      <c r="D30" s="9" t="str">
        <f>"2018010101"</f>
        <v>2018010101</v>
      </c>
      <c r="E30" s="9">
        <v>52.5</v>
      </c>
      <c r="F30" s="9">
        <v>75</v>
      </c>
      <c r="G30" s="9">
        <f t="shared" si="0"/>
        <v>68.25</v>
      </c>
      <c r="H30" s="9" t="s">
        <v>18</v>
      </c>
      <c r="I30" s="4">
        <v>81.2</v>
      </c>
      <c r="J30" s="4">
        <v>82</v>
      </c>
      <c r="K30" s="4">
        <f t="shared" si="1"/>
        <v>66.93</v>
      </c>
    </row>
    <row r="31" spans="1:11" ht="20.25" customHeight="1">
      <c r="A31" s="3">
        <v>29</v>
      </c>
      <c r="B31" s="8">
        <v>180012</v>
      </c>
      <c r="C31" s="9"/>
      <c r="D31" s="9" t="str">
        <f>"2018013606"</f>
        <v>2018013606</v>
      </c>
      <c r="E31" s="9">
        <v>58</v>
      </c>
      <c r="F31" s="9">
        <v>80</v>
      </c>
      <c r="G31" s="9">
        <f t="shared" si="0"/>
        <v>73.4</v>
      </c>
      <c r="H31" s="9" t="s">
        <v>19</v>
      </c>
      <c r="I31" s="4">
        <v>76</v>
      </c>
      <c r="J31" s="4">
        <v>75.24</v>
      </c>
      <c r="K31" s="4">
        <f t="shared" si="1"/>
        <v>66.8</v>
      </c>
    </row>
    <row r="32" spans="1:11" ht="20.25" customHeight="1">
      <c r="A32" s="3">
        <v>30</v>
      </c>
      <c r="B32" s="8">
        <v>180012</v>
      </c>
      <c r="C32" s="9"/>
      <c r="D32" s="9" t="str">
        <f>"2018010228"</f>
        <v>2018010228</v>
      </c>
      <c r="E32" s="9">
        <v>59.5</v>
      </c>
      <c r="F32" s="9">
        <v>81</v>
      </c>
      <c r="G32" s="9">
        <f t="shared" si="0"/>
        <v>74.55</v>
      </c>
      <c r="H32" s="9" t="s">
        <v>18</v>
      </c>
      <c r="I32" s="4">
        <v>72.8</v>
      </c>
      <c r="J32" s="4">
        <v>73.52</v>
      </c>
      <c r="K32" s="4">
        <f t="shared" si="1"/>
        <v>66.68</v>
      </c>
    </row>
    <row r="33" spans="1:11" ht="20.25" customHeight="1">
      <c r="A33" s="3">
        <v>31</v>
      </c>
      <c r="B33" s="8">
        <v>180012</v>
      </c>
      <c r="C33" s="9"/>
      <c r="D33" s="9" t="str">
        <f>"2018010317"</f>
        <v>2018010317</v>
      </c>
      <c r="E33" s="9">
        <v>55</v>
      </c>
      <c r="F33" s="9">
        <v>73</v>
      </c>
      <c r="G33" s="9">
        <f t="shared" si="0"/>
        <v>67.6</v>
      </c>
      <c r="H33" s="9" t="s">
        <v>18</v>
      </c>
      <c r="I33" s="4">
        <v>81.4</v>
      </c>
      <c r="J33" s="4">
        <v>82.2</v>
      </c>
      <c r="K33" s="4">
        <f t="shared" si="1"/>
        <v>66.68</v>
      </c>
    </row>
    <row r="34" spans="1:11" ht="20.25" customHeight="1">
      <c r="A34" s="3">
        <v>32</v>
      </c>
      <c r="B34" s="8">
        <v>180024</v>
      </c>
      <c r="C34" s="9"/>
      <c r="D34" s="9" t="str">
        <f>"2018013708"</f>
        <v>2018013708</v>
      </c>
      <c r="E34" s="9">
        <v>66.5</v>
      </c>
      <c r="F34" s="9">
        <v>100</v>
      </c>
      <c r="G34" s="9">
        <f>E34*0.3+F34*0.7</f>
        <v>89.95</v>
      </c>
      <c r="H34" s="9"/>
      <c r="I34" s="3">
        <v>79.2</v>
      </c>
      <c r="J34" s="3">
        <f aca="true" t="shared" si="2" ref="J34:J40">I34</f>
        <v>79.2</v>
      </c>
      <c r="K34" s="4">
        <f t="shared" si="1"/>
        <v>76.66</v>
      </c>
    </row>
    <row r="35" spans="1:11" ht="20.25" customHeight="1">
      <c r="A35" s="3">
        <v>33</v>
      </c>
      <c r="B35" s="8">
        <v>180027</v>
      </c>
      <c r="C35" s="9"/>
      <c r="D35" s="9" t="str">
        <f>"2018010422"</f>
        <v>2018010422</v>
      </c>
      <c r="E35" s="9">
        <v>47</v>
      </c>
      <c r="F35" s="9">
        <v>88</v>
      </c>
      <c r="G35" s="9">
        <f>E35*0.3+F35*0.7</f>
        <v>75.69999999999999</v>
      </c>
      <c r="H35" s="9"/>
      <c r="I35" s="3">
        <v>80</v>
      </c>
      <c r="J35" s="3">
        <f t="shared" si="2"/>
        <v>80</v>
      </c>
      <c r="K35" s="4">
        <f aca="true" t="shared" si="3" ref="K35:K76">ROUND(G35/1.2*0.6+J35*0.4,2)</f>
        <v>69.85</v>
      </c>
    </row>
    <row r="36" spans="1:11" ht="20.25" customHeight="1">
      <c r="A36" s="3">
        <v>34</v>
      </c>
      <c r="B36" s="8">
        <v>180027</v>
      </c>
      <c r="C36" s="9"/>
      <c r="D36" s="9" t="str">
        <f>"2018010405"</f>
        <v>2018010405</v>
      </c>
      <c r="E36" s="9">
        <v>70.5</v>
      </c>
      <c r="F36" s="9">
        <v>73</v>
      </c>
      <c r="G36" s="9">
        <f>E36*0.3+F36*0.7</f>
        <v>72.25</v>
      </c>
      <c r="H36" s="9"/>
      <c r="I36" s="3">
        <v>82.2</v>
      </c>
      <c r="J36" s="3">
        <f t="shared" si="2"/>
        <v>82.2</v>
      </c>
      <c r="K36" s="4">
        <f t="shared" si="3"/>
        <v>69.01</v>
      </c>
    </row>
    <row r="37" spans="1:11" ht="20.25" customHeight="1">
      <c r="A37" s="3">
        <v>35</v>
      </c>
      <c r="B37" s="8">
        <v>180027</v>
      </c>
      <c r="C37" s="9"/>
      <c r="D37" s="9" t="str">
        <f>"2018010427"</f>
        <v>2018010427</v>
      </c>
      <c r="E37" s="9">
        <v>48</v>
      </c>
      <c r="F37" s="9">
        <v>87</v>
      </c>
      <c r="G37" s="9">
        <f>E37*0.3+F37*0.7</f>
        <v>75.3</v>
      </c>
      <c r="H37" s="9"/>
      <c r="I37" s="3">
        <v>78.2</v>
      </c>
      <c r="J37" s="3">
        <f t="shared" si="2"/>
        <v>78.2</v>
      </c>
      <c r="K37" s="4">
        <f t="shared" si="3"/>
        <v>68.93</v>
      </c>
    </row>
    <row r="38" spans="1:11" ht="20.25" customHeight="1">
      <c r="A38" s="3">
        <v>36</v>
      </c>
      <c r="B38" s="8">
        <v>180028</v>
      </c>
      <c r="C38" s="9"/>
      <c r="D38" s="9" t="str">
        <f>"2018013802"</f>
        <v>2018013802</v>
      </c>
      <c r="E38" s="9">
        <v>53.5</v>
      </c>
      <c r="F38" s="9">
        <v>77</v>
      </c>
      <c r="G38" s="9">
        <f aca="true" t="shared" si="4" ref="G38:G56">E38*0.3+F38*0.7</f>
        <v>69.95</v>
      </c>
      <c r="H38" s="9"/>
      <c r="I38" s="3">
        <v>76.6</v>
      </c>
      <c r="J38" s="3">
        <f t="shared" si="2"/>
        <v>76.6</v>
      </c>
      <c r="K38" s="4">
        <f t="shared" si="3"/>
        <v>65.62</v>
      </c>
    </row>
    <row r="39" spans="1:11" ht="20.25" customHeight="1">
      <c r="A39" s="3">
        <v>37</v>
      </c>
      <c r="B39" s="8">
        <v>180028</v>
      </c>
      <c r="C39" s="9"/>
      <c r="D39" s="9" t="str">
        <f>"2018013807"</f>
        <v>2018013807</v>
      </c>
      <c r="E39" s="9">
        <v>49.5</v>
      </c>
      <c r="F39" s="9">
        <v>79</v>
      </c>
      <c r="G39" s="9">
        <f t="shared" si="4"/>
        <v>70.14999999999999</v>
      </c>
      <c r="H39" s="9"/>
      <c r="I39" s="3">
        <v>74.4</v>
      </c>
      <c r="J39" s="3">
        <f t="shared" si="2"/>
        <v>74.4</v>
      </c>
      <c r="K39" s="4">
        <f t="shared" si="3"/>
        <v>64.84</v>
      </c>
    </row>
    <row r="40" spans="1:11" ht="20.25" customHeight="1">
      <c r="A40" s="3">
        <v>38</v>
      </c>
      <c r="B40" s="8">
        <v>180030</v>
      </c>
      <c r="C40" s="9"/>
      <c r="D40" s="9" t="str">
        <f>"2018013718"</f>
        <v>2018013718</v>
      </c>
      <c r="E40" s="9">
        <v>60.5</v>
      </c>
      <c r="F40" s="9">
        <v>89</v>
      </c>
      <c r="G40" s="9">
        <f t="shared" si="4"/>
        <v>80.44999999999999</v>
      </c>
      <c r="H40" s="9"/>
      <c r="I40" s="4">
        <v>81.6</v>
      </c>
      <c r="J40" s="4">
        <f t="shared" si="2"/>
        <v>81.6</v>
      </c>
      <c r="K40" s="4">
        <f t="shared" si="3"/>
        <v>72.87</v>
      </c>
    </row>
    <row r="41" spans="1:11" ht="20.25" customHeight="1">
      <c r="A41" s="3">
        <v>39</v>
      </c>
      <c r="B41" s="8">
        <v>180032</v>
      </c>
      <c r="C41" s="9"/>
      <c r="D41" s="9" t="str">
        <f>"2018010514"</f>
        <v>2018010514</v>
      </c>
      <c r="E41" s="9">
        <v>75.5</v>
      </c>
      <c r="F41" s="9">
        <v>104</v>
      </c>
      <c r="G41" s="9">
        <f t="shared" si="4"/>
        <v>95.44999999999999</v>
      </c>
      <c r="H41" s="9"/>
      <c r="I41" s="4">
        <v>77</v>
      </c>
      <c r="J41" s="4">
        <f aca="true" t="shared" si="5" ref="J41:J46">I41</f>
        <v>77</v>
      </c>
      <c r="K41" s="4">
        <f t="shared" si="3"/>
        <v>78.53</v>
      </c>
    </row>
    <row r="42" spans="1:11" ht="20.25" customHeight="1">
      <c r="A42" s="3">
        <v>40</v>
      </c>
      <c r="B42" s="8">
        <v>180032</v>
      </c>
      <c r="C42" s="9"/>
      <c r="D42" s="9" t="str">
        <f>"2018010511"</f>
        <v>2018010511</v>
      </c>
      <c r="E42" s="9">
        <v>56</v>
      </c>
      <c r="F42" s="9">
        <v>107</v>
      </c>
      <c r="G42" s="9">
        <f t="shared" si="4"/>
        <v>91.69999999999999</v>
      </c>
      <c r="H42" s="9"/>
      <c r="I42" s="4">
        <v>81</v>
      </c>
      <c r="J42" s="4">
        <f t="shared" si="5"/>
        <v>81</v>
      </c>
      <c r="K42" s="4">
        <f t="shared" si="3"/>
        <v>78.25</v>
      </c>
    </row>
    <row r="43" spans="1:11" ht="20.25" customHeight="1">
      <c r="A43" s="3">
        <v>41</v>
      </c>
      <c r="B43" s="8">
        <v>180032</v>
      </c>
      <c r="C43" s="9"/>
      <c r="D43" s="9" t="str">
        <f>"2018010508"</f>
        <v>2018010508</v>
      </c>
      <c r="E43" s="9">
        <v>55</v>
      </c>
      <c r="F43" s="9">
        <v>100</v>
      </c>
      <c r="G43" s="9">
        <f t="shared" si="4"/>
        <v>86.5</v>
      </c>
      <c r="H43" s="9"/>
      <c r="I43" s="4">
        <v>74.6</v>
      </c>
      <c r="J43" s="4">
        <f t="shared" si="5"/>
        <v>74.6</v>
      </c>
      <c r="K43" s="4">
        <f t="shared" si="3"/>
        <v>73.09</v>
      </c>
    </row>
    <row r="44" spans="1:11" ht="20.25" customHeight="1">
      <c r="A44" s="3">
        <v>42</v>
      </c>
      <c r="B44" s="8">
        <v>180032</v>
      </c>
      <c r="C44" s="9"/>
      <c r="D44" s="9" t="str">
        <f>"2018010509"</f>
        <v>2018010509</v>
      </c>
      <c r="E44" s="9">
        <v>62.5</v>
      </c>
      <c r="F44" s="9">
        <v>81</v>
      </c>
      <c r="G44" s="9">
        <f t="shared" si="4"/>
        <v>75.44999999999999</v>
      </c>
      <c r="H44" s="9"/>
      <c r="I44" s="4">
        <v>83</v>
      </c>
      <c r="J44" s="4">
        <f t="shared" si="5"/>
        <v>83</v>
      </c>
      <c r="K44" s="4">
        <f t="shared" si="3"/>
        <v>70.93</v>
      </c>
    </row>
    <row r="45" spans="1:11" ht="20.25" customHeight="1">
      <c r="A45" s="3">
        <v>43</v>
      </c>
      <c r="B45" s="8">
        <v>180032</v>
      </c>
      <c r="C45" s="9"/>
      <c r="D45" s="9" t="str">
        <f>"2018010517"</f>
        <v>2018010517</v>
      </c>
      <c r="E45" s="9">
        <v>41.5</v>
      </c>
      <c r="F45" s="9">
        <v>96</v>
      </c>
      <c r="G45" s="9">
        <f t="shared" si="4"/>
        <v>79.64999999999999</v>
      </c>
      <c r="H45" s="9"/>
      <c r="I45" s="4">
        <v>77.2</v>
      </c>
      <c r="J45" s="4">
        <f t="shared" si="5"/>
        <v>77.2</v>
      </c>
      <c r="K45" s="4">
        <f t="shared" si="3"/>
        <v>70.71</v>
      </c>
    </row>
    <row r="46" spans="1:11" ht="20.25" customHeight="1">
      <c r="A46" s="3">
        <v>44</v>
      </c>
      <c r="B46" s="8">
        <v>180032</v>
      </c>
      <c r="C46" s="9"/>
      <c r="D46" s="9" t="str">
        <f>"2018010506"</f>
        <v>2018010506</v>
      </c>
      <c r="E46" s="9">
        <v>49.5</v>
      </c>
      <c r="F46" s="9">
        <v>100</v>
      </c>
      <c r="G46" s="9">
        <f t="shared" si="4"/>
        <v>84.85</v>
      </c>
      <c r="H46" s="9"/>
      <c r="I46" s="4">
        <v>64.6</v>
      </c>
      <c r="J46" s="4">
        <f t="shared" si="5"/>
        <v>64.6</v>
      </c>
      <c r="K46" s="4">
        <f t="shared" si="3"/>
        <v>68.27</v>
      </c>
    </row>
    <row r="47" spans="1:11" ht="20.25" customHeight="1">
      <c r="A47" s="3">
        <v>45</v>
      </c>
      <c r="B47" s="8">
        <v>180034</v>
      </c>
      <c r="C47" s="9"/>
      <c r="D47" s="9" t="str">
        <f>"2018011007"</f>
        <v>2018011007</v>
      </c>
      <c r="E47" s="9">
        <v>62</v>
      </c>
      <c r="F47" s="9">
        <v>102</v>
      </c>
      <c r="G47" s="9">
        <f t="shared" si="4"/>
        <v>89.99999999999999</v>
      </c>
      <c r="H47" s="9" t="s">
        <v>16</v>
      </c>
      <c r="I47" s="4">
        <v>86.2</v>
      </c>
      <c r="J47" s="4">
        <f>ROUND(I47*77.85/75.61,2)</f>
        <v>88.75</v>
      </c>
      <c r="K47" s="4">
        <f t="shared" si="3"/>
        <v>80.5</v>
      </c>
    </row>
    <row r="48" spans="1:11" ht="20.25" customHeight="1">
      <c r="A48" s="3">
        <v>46</v>
      </c>
      <c r="B48" s="8">
        <v>180034</v>
      </c>
      <c r="C48" s="9"/>
      <c r="D48" s="9" t="str">
        <f>"2018011717"</f>
        <v>2018011717</v>
      </c>
      <c r="E48" s="9">
        <v>65</v>
      </c>
      <c r="F48" s="9">
        <v>98</v>
      </c>
      <c r="G48" s="9">
        <f t="shared" si="4"/>
        <v>88.1</v>
      </c>
      <c r="H48" s="9" t="s">
        <v>16</v>
      </c>
      <c r="I48" s="4">
        <v>86.8</v>
      </c>
      <c r="J48" s="4">
        <f>ROUND(I48*77.85/75.61,2)</f>
        <v>89.37</v>
      </c>
      <c r="K48" s="4">
        <f t="shared" si="3"/>
        <v>79.8</v>
      </c>
    </row>
    <row r="49" spans="1:11" ht="20.25" customHeight="1">
      <c r="A49" s="3">
        <v>47</v>
      </c>
      <c r="B49" s="8">
        <v>180034</v>
      </c>
      <c r="C49" s="9"/>
      <c r="D49" s="9" t="str">
        <f>"2018011113"</f>
        <v>2018011113</v>
      </c>
      <c r="E49" s="9">
        <v>50</v>
      </c>
      <c r="F49" s="9">
        <v>109</v>
      </c>
      <c r="G49" s="9">
        <f t="shared" si="4"/>
        <v>91.3</v>
      </c>
      <c r="H49" s="9" t="s">
        <v>11</v>
      </c>
      <c r="I49" s="4">
        <v>83.8</v>
      </c>
      <c r="J49" s="4">
        <f>ROUND(I49*77.85/76.94,2)</f>
        <v>84.79</v>
      </c>
      <c r="K49" s="4">
        <f t="shared" si="3"/>
        <v>79.57</v>
      </c>
    </row>
    <row r="50" spans="1:11" ht="20.25" customHeight="1">
      <c r="A50" s="3">
        <v>48</v>
      </c>
      <c r="B50" s="8">
        <v>180034</v>
      </c>
      <c r="C50" s="9"/>
      <c r="D50" s="9" t="str">
        <f>"2018010816"</f>
        <v>2018010816</v>
      </c>
      <c r="E50" s="9">
        <v>65.5</v>
      </c>
      <c r="F50" s="9">
        <v>103</v>
      </c>
      <c r="G50" s="9">
        <f t="shared" si="4"/>
        <v>91.75</v>
      </c>
      <c r="H50" s="9" t="s">
        <v>11</v>
      </c>
      <c r="I50" s="4">
        <v>80.2</v>
      </c>
      <c r="J50" s="4">
        <f>ROUND(I50*77.85/76.94,2)</f>
        <v>81.15</v>
      </c>
      <c r="K50" s="4">
        <f t="shared" si="3"/>
        <v>78.34</v>
      </c>
    </row>
    <row r="51" spans="1:11" ht="20.25" customHeight="1">
      <c r="A51" s="3">
        <v>49</v>
      </c>
      <c r="B51" s="8">
        <v>180034</v>
      </c>
      <c r="C51" s="9"/>
      <c r="D51" s="9" t="str">
        <f>"2018010728"</f>
        <v>2018010728</v>
      </c>
      <c r="E51" s="9">
        <v>78.5</v>
      </c>
      <c r="F51" s="9">
        <v>96</v>
      </c>
      <c r="G51" s="9">
        <f t="shared" si="4"/>
        <v>90.74999999999999</v>
      </c>
      <c r="H51" s="9" t="s">
        <v>14</v>
      </c>
      <c r="I51" s="4">
        <v>82.2</v>
      </c>
      <c r="J51" s="4">
        <f>ROUND(I51*77.85/78.72,2)</f>
        <v>81.29</v>
      </c>
      <c r="K51" s="4">
        <f t="shared" si="3"/>
        <v>77.89</v>
      </c>
    </row>
    <row r="52" spans="1:11" ht="20.25" customHeight="1">
      <c r="A52" s="3">
        <v>50</v>
      </c>
      <c r="B52" s="8">
        <v>180034</v>
      </c>
      <c r="C52" s="9"/>
      <c r="D52" s="9" t="str">
        <f>"2018011903"</f>
        <v>2018011903</v>
      </c>
      <c r="E52" s="9">
        <v>55.5</v>
      </c>
      <c r="F52" s="9">
        <v>103</v>
      </c>
      <c r="G52" s="9">
        <f t="shared" si="4"/>
        <v>88.75</v>
      </c>
      <c r="H52" s="9" t="s">
        <v>14</v>
      </c>
      <c r="I52" s="4">
        <v>83.6</v>
      </c>
      <c r="J52" s="4">
        <f>ROUND(I52*77.85/78.72,2)</f>
        <v>82.68</v>
      </c>
      <c r="K52" s="4">
        <f t="shared" si="3"/>
        <v>77.45</v>
      </c>
    </row>
    <row r="53" spans="1:11" ht="20.25" customHeight="1">
      <c r="A53" s="3">
        <v>51</v>
      </c>
      <c r="B53" s="8">
        <v>180034</v>
      </c>
      <c r="C53" s="9"/>
      <c r="D53" s="9" t="str">
        <f>"2018012102"</f>
        <v>2018012102</v>
      </c>
      <c r="E53" s="9">
        <v>54</v>
      </c>
      <c r="F53" s="9">
        <v>101</v>
      </c>
      <c r="G53" s="9">
        <f t="shared" si="4"/>
        <v>86.89999999999999</v>
      </c>
      <c r="H53" s="9" t="s">
        <v>16</v>
      </c>
      <c r="I53" s="4">
        <v>82</v>
      </c>
      <c r="J53" s="4">
        <f>ROUND(I53*77.85/75.61,2)</f>
        <v>84.43</v>
      </c>
      <c r="K53" s="4">
        <f t="shared" si="3"/>
        <v>77.22</v>
      </c>
    </row>
    <row r="54" spans="1:11" ht="20.25" customHeight="1">
      <c r="A54" s="3">
        <v>52</v>
      </c>
      <c r="B54" s="8">
        <v>180034</v>
      </c>
      <c r="C54" s="9"/>
      <c r="D54" s="9" t="str">
        <f>"2018010622"</f>
        <v>2018010622</v>
      </c>
      <c r="E54" s="9">
        <v>63</v>
      </c>
      <c r="F54" s="9">
        <v>102</v>
      </c>
      <c r="G54" s="9">
        <f t="shared" si="4"/>
        <v>90.29999999999998</v>
      </c>
      <c r="H54" s="9" t="s">
        <v>15</v>
      </c>
      <c r="I54" s="4">
        <v>82</v>
      </c>
      <c r="J54" s="4">
        <f>ROUND(I54*77.85/80.36,2)</f>
        <v>79.44</v>
      </c>
      <c r="K54" s="4">
        <f t="shared" si="3"/>
        <v>76.93</v>
      </c>
    </row>
    <row r="55" spans="1:11" ht="20.25" customHeight="1">
      <c r="A55" s="3">
        <v>53</v>
      </c>
      <c r="B55" s="8">
        <v>180034</v>
      </c>
      <c r="C55" s="9"/>
      <c r="D55" s="9" t="str">
        <f>"2018011516"</f>
        <v>2018011516</v>
      </c>
      <c r="E55" s="9">
        <v>46.5</v>
      </c>
      <c r="F55" s="9">
        <v>105</v>
      </c>
      <c r="G55" s="9">
        <f t="shared" si="4"/>
        <v>87.45</v>
      </c>
      <c r="H55" s="9" t="s">
        <v>15</v>
      </c>
      <c r="I55" s="4">
        <v>85.4</v>
      </c>
      <c r="J55" s="4">
        <f>ROUND(I55*77.85/80.36,2)</f>
        <v>82.73</v>
      </c>
      <c r="K55" s="4">
        <f t="shared" si="3"/>
        <v>76.82</v>
      </c>
    </row>
    <row r="56" spans="1:11" ht="20.25" customHeight="1">
      <c r="A56" s="3">
        <v>54</v>
      </c>
      <c r="B56" s="8">
        <v>180034</v>
      </c>
      <c r="C56" s="9"/>
      <c r="D56" s="9" t="str">
        <f>"2018012108"</f>
        <v>2018012108</v>
      </c>
      <c r="E56" s="9">
        <v>50.5</v>
      </c>
      <c r="F56" s="9">
        <v>106</v>
      </c>
      <c r="G56" s="9">
        <f t="shared" si="4"/>
        <v>89.35</v>
      </c>
      <c r="H56" s="9" t="s">
        <v>16</v>
      </c>
      <c r="I56" s="4">
        <v>76.6</v>
      </c>
      <c r="J56" s="4">
        <f>ROUND(I56*77.85/75.61,2)</f>
        <v>78.87</v>
      </c>
      <c r="K56" s="4">
        <f t="shared" si="3"/>
        <v>76.22</v>
      </c>
    </row>
    <row r="57" spans="1:11" ht="20.25" customHeight="1">
      <c r="A57" s="3">
        <v>55</v>
      </c>
      <c r="B57" s="8">
        <v>180034</v>
      </c>
      <c r="C57" s="9"/>
      <c r="D57" s="9" t="str">
        <f>"2018012009"</f>
        <v>2018012009</v>
      </c>
      <c r="E57" s="9">
        <v>55</v>
      </c>
      <c r="F57" s="9">
        <v>103</v>
      </c>
      <c r="G57" s="9">
        <f aca="true" t="shared" si="6" ref="G57:G86">E57*0.3+F57*0.7</f>
        <v>88.6</v>
      </c>
      <c r="H57" s="9" t="s">
        <v>14</v>
      </c>
      <c r="I57" s="4">
        <v>80.4</v>
      </c>
      <c r="J57" s="4">
        <f>ROUND(I57*77.85/78.72,2)</f>
        <v>79.51</v>
      </c>
      <c r="K57" s="4">
        <f t="shared" si="3"/>
        <v>76.1</v>
      </c>
    </row>
    <row r="58" spans="1:11" ht="20.25" customHeight="1">
      <c r="A58" s="3">
        <v>56</v>
      </c>
      <c r="B58" s="8">
        <v>180034</v>
      </c>
      <c r="C58" s="9"/>
      <c r="D58" s="9" t="str">
        <f>"2018011622"</f>
        <v>2018011622</v>
      </c>
      <c r="E58" s="9">
        <v>47</v>
      </c>
      <c r="F58" s="9">
        <v>104</v>
      </c>
      <c r="G58" s="9">
        <f t="shared" si="6"/>
        <v>86.89999999999999</v>
      </c>
      <c r="H58" s="9" t="s">
        <v>14</v>
      </c>
      <c r="I58" s="4">
        <v>82.1</v>
      </c>
      <c r="J58" s="4">
        <f>ROUND(I58*77.85/78.72,2)</f>
        <v>81.19</v>
      </c>
      <c r="K58" s="4">
        <f t="shared" si="3"/>
        <v>75.93</v>
      </c>
    </row>
    <row r="59" spans="1:11" ht="20.25" customHeight="1">
      <c r="A59" s="3">
        <v>57</v>
      </c>
      <c r="B59" s="8">
        <v>180034</v>
      </c>
      <c r="C59" s="9"/>
      <c r="D59" s="9" t="str">
        <f>"2018011829"</f>
        <v>2018011829</v>
      </c>
      <c r="E59" s="9">
        <v>53</v>
      </c>
      <c r="F59" s="9">
        <v>101</v>
      </c>
      <c r="G59" s="9">
        <f t="shared" si="6"/>
        <v>86.6</v>
      </c>
      <c r="H59" s="9" t="s">
        <v>14</v>
      </c>
      <c r="I59" s="4">
        <v>82</v>
      </c>
      <c r="J59" s="4">
        <f>ROUND(I59*77.85/78.72,2)</f>
        <v>81.09</v>
      </c>
      <c r="K59" s="4">
        <f t="shared" si="3"/>
        <v>75.74</v>
      </c>
    </row>
    <row r="60" spans="1:11" ht="20.25" customHeight="1">
      <c r="A60" s="3">
        <v>58</v>
      </c>
      <c r="B60" s="8">
        <v>180034</v>
      </c>
      <c r="C60" s="9"/>
      <c r="D60" s="9" t="str">
        <f>"2018010530"</f>
        <v>2018010530</v>
      </c>
      <c r="E60" s="9">
        <v>44.5</v>
      </c>
      <c r="F60" s="9">
        <v>96</v>
      </c>
      <c r="G60" s="9">
        <f t="shared" si="6"/>
        <v>80.54999999999998</v>
      </c>
      <c r="H60" s="9" t="s">
        <v>16</v>
      </c>
      <c r="I60" s="4">
        <v>86</v>
      </c>
      <c r="J60" s="4">
        <f>ROUND(I60*77.85/75.61,2)</f>
        <v>88.55</v>
      </c>
      <c r="K60" s="4">
        <f t="shared" si="3"/>
        <v>75.7</v>
      </c>
    </row>
    <row r="61" spans="1:11" ht="20.25" customHeight="1">
      <c r="A61" s="3">
        <v>59</v>
      </c>
      <c r="B61" s="8">
        <v>180034</v>
      </c>
      <c r="C61" s="9"/>
      <c r="D61" s="9" t="str">
        <f>"2018010828"</f>
        <v>2018010828</v>
      </c>
      <c r="E61" s="9">
        <v>54.5</v>
      </c>
      <c r="F61" s="9">
        <v>98</v>
      </c>
      <c r="G61" s="9">
        <f t="shared" si="6"/>
        <v>84.94999999999999</v>
      </c>
      <c r="H61" s="9" t="s">
        <v>15</v>
      </c>
      <c r="I61" s="4">
        <v>85.6</v>
      </c>
      <c r="J61" s="4">
        <f>ROUND(I61*77.85/80.36,2)</f>
        <v>82.93</v>
      </c>
      <c r="K61" s="4">
        <f t="shared" si="3"/>
        <v>75.65</v>
      </c>
    </row>
    <row r="62" spans="1:11" ht="20.25" customHeight="1">
      <c r="A62" s="3">
        <v>60</v>
      </c>
      <c r="B62" s="8">
        <v>180034</v>
      </c>
      <c r="C62" s="9"/>
      <c r="D62" s="9" t="str">
        <f>"2018011502"</f>
        <v>2018011502</v>
      </c>
      <c r="E62" s="9">
        <v>55</v>
      </c>
      <c r="F62" s="9">
        <v>100</v>
      </c>
      <c r="G62" s="9">
        <f t="shared" si="6"/>
        <v>86.5</v>
      </c>
      <c r="H62" s="9" t="s">
        <v>14</v>
      </c>
      <c r="I62" s="4">
        <v>81.52</v>
      </c>
      <c r="J62" s="4">
        <f>ROUND(I62*77.85/78.72,2)</f>
        <v>80.62</v>
      </c>
      <c r="K62" s="4">
        <f t="shared" si="3"/>
        <v>75.5</v>
      </c>
    </row>
    <row r="63" spans="1:11" ht="20.25" customHeight="1">
      <c r="A63" s="3">
        <v>61</v>
      </c>
      <c r="B63" s="8">
        <v>180034</v>
      </c>
      <c r="C63" s="9"/>
      <c r="D63" s="9" t="str">
        <f>"2018011720"</f>
        <v>2018011720</v>
      </c>
      <c r="E63" s="9">
        <v>68</v>
      </c>
      <c r="F63" s="9">
        <v>90</v>
      </c>
      <c r="G63" s="9">
        <f t="shared" si="6"/>
        <v>83.39999999999999</v>
      </c>
      <c r="H63" s="9" t="s">
        <v>15</v>
      </c>
      <c r="I63" s="4">
        <v>85.8</v>
      </c>
      <c r="J63" s="4">
        <f>ROUND(I63*77.85/80.36,2)</f>
        <v>83.12</v>
      </c>
      <c r="K63" s="4">
        <f t="shared" si="3"/>
        <v>74.95</v>
      </c>
    </row>
    <row r="64" spans="1:11" ht="20.25" customHeight="1">
      <c r="A64" s="3">
        <v>62</v>
      </c>
      <c r="B64" s="8">
        <v>180034</v>
      </c>
      <c r="C64" s="9"/>
      <c r="D64" s="9" t="str">
        <f>"2018011826"</f>
        <v>2018011826</v>
      </c>
      <c r="E64" s="9">
        <v>58</v>
      </c>
      <c r="F64" s="9">
        <v>91</v>
      </c>
      <c r="G64" s="9">
        <f t="shared" si="6"/>
        <v>81.1</v>
      </c>
      <c r="H64" s="9" t="s">
        <v>11</v>
      </c>
      <c r="I64" s="4">
        <v>85</v>
      </c>
      <c r="J64" s="4">
        <f>ROUND(I64*77.85/76.94,2)</f>
        <v>86.01</v>
      </c>
      <c r="K64" s="4">
        <f t="shared" si="3"/>
        <v>74.95</v>
      </c>
    </row>
    <row r="65" spans="1:11" ht="20.25" customHeight="1">
      <c r="A65" s="3">
        <v>63</v>
      </c>
      <c r="B65" s="8">
        <v>180034</v>
      </c>
      <c r="C65" s="9"/>
      <c r="D65" s="9" t="str">
        <f>"2018010811"</f>
        <v>2018010811</v>
      </c>
      <c r="E65" s="9">
        <v>52</v>
      </c>
      <c r="F65" s="9">
        <v>98</v>
      </c>
      <c r="G65" s="9">
        <f t="shared" si="6"/>
        <v>84.19999999999999</v>
      </c>
      <c r="H65" s="9" t="s">
        <v>14</v>
      </c>
      <c r="I65" s="4">
        <v>83</v>
      </c>
      <c r="J65" s="4">
        <f>ROUND(I65*77.85/78.72,2)</f>
        <v>82.08</v>
      </c>
      <c r="K65" s="4">
        <f t="shared" si="3"/>
        <v>74.93</v>
      </c>
    </row>
    <row r="66" spans="1:11" ht="20.25" customHeight="1">
      <c r="A66" s="3">
        <v>64</v>
      </c>
      <c r="B66" s="8">
        <v>180034</v>
      </c>
      <c r="C66" s="9"/>
      <c r="D66" s="9" t="str">
        <f>"2018011614"</f>
        <v>2018011614</v>
      </c>
      <c r="E66" s="9">
        <v>52.5</v>
      </c>
      <c r="F66" s="9">
        <v>96</v>
      </c>
      <c r="G66" s="9">
        <f t="shared" si="6"/>
        <v>82.94999999999999</v>
      </c>
      <c r="H66" s="9" t="s">
        <v>11</v>
      </c>
      <c r="I66" s="4">
        <v>82.6</v>
      </c>
      <c r="J66" s="4">
        <f>ROUND(I66*77.85/76.94,2)</f>
        <v>83.58</v>
      </c>
      <c r="K66" s="4">
        <f t="shared" si="3"/>
        <v>74.91</v>
      </c>
    </row>
    <row r="67" spans="1:11" ht="20.25" customHeight="1">
      <c r="A67" s="3">
        <v>65</v>
      </c>
      <c r="B67" s="8">
        <v>180034</v>
      </c>
      <c r="C67" s="9"/>
      <c r="D67" s="9" t="str">
        <f>"2018011003"</f>
        <v>2018011003</v>
      </c>
      <c r="E67" s="9">
        <v>43</v>
      </c>
      <c r="F67" s="9">
        <v>97</v>
      </c>
      <c r="G67" s="9">
        <f t="shared" si="6"/>
        <v>80.8</v>
      </c>
      <c r="H67" s="9" t="s">
        <v>11</v>
      </c>
      <c r="I67" s="4">
        <v>85.2</v>
      </c>
      <c r="J67" s="4">
        <f>ROUND(I67*77.85/76.94,2)</f>
        <v>86.21</v>
      </c>
      <c r="K67" s="4">
        <f t="shared" si="3"/>
        <v>74.88</v>
      </c>
    </row>
    <row r="68" spans="1:11" ht="20.25" customHeight="1">
      <c r="A68" s="3">
        <v>66</v>
      </c>
      <c r="B68" s="8">
        <v>180034</v>
      </c>
      <c r="C68" s="9"/>
      <c r="D68" s="9" t="str">
        <f>"2018011806"</f>
        <v>2018011806</v>
      </c>
      <c r="E68" s="9">
        <v>49.5</v>
      </c>
      <c r="F68" s="9">
        <v>100</v>
      </c>
      <c r="G68" s="9">
        <f t="shared" si="6"/>
        <v>84.85</v>
      </c>
      <c r="H68" s="9" t="s">
        <v>15</v>
      </c>
      <c r="I68" s="4">
        <v>83.4</v>
      </c>
      <c r="J68" s="4">
        <f>ROUND(I68*77.85/80.36,2)</f>
        <v>80.8</v>
      </c>
      <c r="K68" s="4">
        <f t="shared" si="3"/>
        <v>74.75</v>
      </c>
    </row>
    <row r="69" spans="1:11" ht="20.25" customHeight="1">
      <c r="A69" s="3">
        <v>67</v>
      </c>
      <c r="B69" s="8">
        <v>180034</v>
      </c>
      <c r="C69" s="9"/>
      <c r="D69" s="9" t="str">
        <f>"2018011330"</f>
        <v>2018011330</v>
      </c>
      <c r="E69" s="9">
        <v>50.5</v>
      </c>
      <c r="F69" s="9">
        <v>97</v>
      </c>
      <c r="G69" s="9">
        <f t="shared" si="6"/>
        <v>83.04999999999998</v>
      </c>
      <c r="H69" s="9" t="s">
        <v>15</v>
      </c>
      <c r="I69" s="4">
        <v>85.4</v>
      </c>
      <c r="J69" s="4">
        <f>ROUND(I69*77.85/80.36,2)</f>
        <v>82.73</v>
      </c>
      <c r="K69" s="4">
        <f t="shared" si="3"/>
        <v>74.62</v>
      </c>
    </row>
    <row r="70" spans="1:11" ht="20.25" customHeight="1">
      <c r="A70" s="3">
        <v>68</v>
      </c>
      <c r="B70" s="8">
        <v>180034</v>
      </c>
      <c r="C70" s="9"/>
      <c r="D70" s="9" t="str">
        <f>"2018010719"</f>
        <v>2018010719</v>
      </c>
      <c r="E70" s="9">
        <v>63</v>
      </c>
      <c r="F70" s="9">
        <v>91</v>
      </c>
      <c r="G70" s="9">
        <f t="shared" si="6"/>
        <v>82.6</v>
      </c>
      <c r="H70" s="9" t="s">
        <v>15</v>
      </c>
      <c r="I70" s="4">
        <v>85.7</v>
      </c>
      <c r="J70" s="4">
        <f>ROUND(I70*77.85/80.36,2)</f>
        <v>83.02</v>
      </c>
      <c r="K70" s="4">
        <f t="shared" si="3"/>
        <v>74.51</v>
      </c>
    </row>
    <row r="71" spans="1:11" ht="20.25" customHeight="1">
      <c r="A71" s="3">
        <v>69</v>
      </c>
      <c r="B71" s="8">
        <v>180034</v>
      </c>
      <c r="C71" s="9"/>
      <c r="D71" s="9" t="str">
        <f>"2018011311"</f>
        <v>2018011311</v>
      </c>
      <c r="E71" s="9">
        <v>53</v>
      </c>
      <c r="F71" s="9">
        <v>100</v>
      </c>
      <c r="G71" s="9">
        <f t="shared" si="6"/>
        <v>85.9</v>
      </c>
      <c r="H71" s="9" t="s">
        <v>15</v>
      </c>
      <c r="I71" s="4">
        <v>81.4</v>
      </c>
      <c r="J71" s="4">
        <f>ROUND(I71*77.85/80.36,2)</f>
        <v>78.86</v>
      </c>
      <c r="K71" s="4">
        <f t="shared" si="3"/>
        <v>74.49</v>
      </c>
    </row>
    <row r="72" spans="1:11" ht="20.25" customHeight="1">
      <c r="A72" s="3">
        <v>70</v>
      </c>
      <c r="B72" s="8">
        <v>180034</v>
      </c>
      <c r="C72" s="9"/>
      <c r="D72" s="9" t="str">
        <f>"2018012115"</f>
        <v>2018012115</v>
      </c>
      <c r="E72" s="9">
        <v>53</v>
      </c>
      <c r="F72" s="9">
        <v>100</v>
      </c>
      <c r="G72" s="9">
        <f t="shared" si="6"/>
        <v>85.9</v>
      </c>
      <c r="H72" s="9" t="s">
        <v>14</v>
      </c>
      <c r="I72" s="4">
        <v>79.6</v>
      </c>
      <c r="J72" s="4">
        <f>ROUND(I72*77.85/78.72,2)</f>
        <v>78.72</v>
      </c>
      <c r="K72" s="4">
        <f t="shared" si="3"/>
        <v>74.44</v>
      </c>
    </row>
    <row r="73" spans="1:11" ht="20.25" customHeight="1">
      <c r="A73" s="3">
        <v>71</v>
      </c>
      <c r="B73" s="8">
        <v>180034</v>
      </c>
      <c r="C73" s="9"/>
      <c r="D73" s="9" t="str">
        <f>"2018012127"</f>
        <v>2018012127</v>
      </c>
      <c r="E73" s="9">
        <v>28.5</v>
      </c>
      <c r="F73" s="9">
        <v>105</v>
      </c>
      <c r="G73" s="9">
        <f t="shared" si="6"/>
        <v>82.05</v>
      </c>
      <c r="H73" s="9" t="s">
        <v>16</v>
      </c>
      <c r="I73" s="4">
        <v>81</v>
      </c>
      <c r="J73" s="4">
        <f>ROUND(I73*77.85/75.61,2)</f>
        <v>83.4</v>
      </c>
      <c r="K73" s="4">
        <f t="shared" si="3"/>
        <v>74.39</v>
      </c>
    </row>
    <row r="74" spans="1:11" ht="20.25" customHeight="1">
      <c r="A74" s="3">
        <v>72</v>
      </c>
      <c r="B74" s="8">
        <v>180034</v>
      </c>
      <c r="C74" s="9"/>
      <c r="D74" s="9" t="str">
        <f>"2018010804"</f>
        <v>2018010804</v>
      </c>
      <c r="E74" s="9">
        <v>45</v>
      </c>
      <c r="F74" s="9">
        <v>103</v>
      </c>
      <c r="G74" s="9">
        <f t="shared" si="6"/>
        <v>85.6</v>
      </c>
      <c r="H74" s="9" t="s">
        <v>16</v>
      </c>
      <c r="I74" s="4">
        <v>76.6</v>
      </c>
      <c r="J74" s="4">
        <f>ROUND(I74*77.85/75.61,2)</f>
        <v>78.87</v>
      </c>
      <c r="K74" s="4">
        <f t="shared" si="3"/>
        <v>74.35</v>
      </c>
    </row>
    <row r="75" spans="1:11" ht="20.25" customHeight="1">
      <c r="A75" s="3">
        <v>73</v>
      </c>
      <c r="B75" s="8">
        <v>180034</v>
      </c>
      <c r="C75" s="9"/>
      <c r="D75" s="9" t="str">
        <f>"2018011813"</f>
        <v>2018011813</v>
      </c>
      <c r="E75" s="9">
        <v>51.5</v>
      </c>
      <c r="F75" s="9">
        <v>100</v>
      </c>
      <c r="G75" s="9">
        <f t="shared" si="6"/>
        <v>85.45</v>
      </c>
      <c r="H75" s="9" t="s">
        <v>14</v>
      </c>
      <c r="I75" s="4">
        <v>79.8</v>
      </c>
      <c r="J75" s="4">
        <f>ROUND(I75*77.85/78.72,2)</f>
        <v>78.92</v>
      </c>
      <c r="K75" s="4">
        <f t="shared" si="3"/>
        <v>74.29</v>
      </c>
    </row>
    <row r="76" spans="1:11" ht="20.25" customHeight="1">
      <c r="A76" s="3">
        <v>74</v>
      </c>
      <c r="B76" s="8">
        <v>180034</v>
      </c>
      <c r="C76" s="9"/>
      <c r="D76" s="9" t="str">
        <f>"2018011527"</f>
        <v>2018011527</v>
      </c>
      <c r="E76" s="9">
        <v>47.5</v>
      </c>
      <c r="F76" s="9">
        <v>100</v>
      </c>
      <c r="G76" s="9">
        <f t="shared" si="6"/>
        <v>84.25</v>
      </c>
      <c r="H76" s="9" t="s">
        <v>15</v>
      </c>
      <c r="I76" s="4">
        <v>82.8</v>
      </c>
      <c r="J76" s="4">
        <f>ROUND(I76*77.85/80.36,2)</f>
        <v>80.21</v>
      </c>
      <c r="K76" s="4">
        <f t="shared" si="3"/>
        <v>74.21</v>
      </c>
    </row>
    <row r="77" spans="1:11" ht="20.25" customHeight="1">
      <c r="A77" s="3">
        <v>75</v>
      </c>
      <c r="B77" s="8">
        <v>180034</v>
      </c>
      <c r="C77" s="9"/>
      <c r="D77" s="9" t="str">
        <f>"2018011615"</f>
        <v>2018011615</v>
      </c>
      <c r="E77" s="9">
        <v>42.5</v>
      </c>
      <c r="F77" s="9">
        <v>96</v>
      </c>
      <c r="G77" s="9">
        <f t="shared" si="6"/>
        <v>79.94999999999999</v>
      </c>
      <c r="H77" s="9" t="s">
        <v>16</v>
      </c>
      <c r="I77" s="4">
        <v>83</v>
      </c>
      <c r="J77" s="4">
        <f>ROUND(I77*77.85/75.61,2)</f>
        <v>85.46</v>
      </c>
      <c r="K77" s="4">
        <f aca="true" t="shared" si="7" ref="K77:K86">ROUND(G77/1.2*0.6+J77*0.4,2)</f>
        <v>74.16</v>
      </c>
    </row>
    <row r="78" spans="1:11" ht="20.25" customHeight="1">
      <c r="A78" s="3">
        <v>76</v>
      </c>
      <c r="B78" s="8">
        <v>180034</v>
      </c>
      <c r="C78" s="9"/>
      <c r="D78" s="9" t="str">
        <f>"2018010825"</f>
        <v>2018010825</v>
      </c>
      <c r="E78" s="9">
        <v>49.5</v>
      </c>
      <c r="F78" s="9">
        <v>100</v>
      </c>
      <c r="G78" s="9">
        <f t="shared" si="6"/>
        <v>84.85</v>
      </c>
      <c r="H78" s="9" t="s">
        <v>16</v>
      </c>
      <c r="I78" s="4">
        <v>76.8</v>
      </c>
      <c r="J78" s="4">
        <f>ROUND(I78*77.85/75.61,2)</f>
        <v>79.08</v>
      </c>
      <c r="K78" s="4">
        <f t="shared" si="7"/>
        <v>74.06</v>
      </c>
    </row>
    <row r="79" spans="1:11" ht="20.25" customHeight="1">
      <c r="A79" s="3">
        <v>77</v>
      </c>
      <c r="B79" s="8">
        <v>180034</v>
      </c>
      <c r="C79" s="9"/>
      <c r="D79" s="9" t="str">
        <f>"2018012117"</f>
        <v>2018012117</v>
      </c>
      <c r="E79" s="9">
        <v>47</v>
      </c>
      <c r="F79" s="9">
        <v>96</v>
      </c>
      <c r="G79" s="9">
        <f t="shared" si="6"/>
        <v>81.29999999999998</v>
      </c>
      <c r="H79" s="9" t="s">
        <v>11</v>
      </c>
      <c r="I79" s="4">
        <v>82</v>
      </c>
      <c r="J79" s="4">
        <f>ROUND(I79*77.85/76.94,2)</f>
        <v>82.97</v>
      </c>
      <c r="K79" s="4">
        <f t="shared" si="7"/>
        <v>73.84</v>
      </c>
    </row>
    <row r="80" spans="1:11" ht="20.25" customHeight="1">
      <c r="A80" s="3">
        <v>78</v>
      </c>
      <c r="B80" s="8">
        <v>180034</v>
      </c>
      <c r="C80" s="9"/>
      <c r="D80" s="9" t="str">
        <f>"2018010621"</f>
        <v>2018010621</v>
      </c>
      <c r="E80" s="9">
        <v>49</v>
      </c>
      <c r="F80" s="9">
        <v>99</v>
      </c>
      <c r="G80" s="9">
        <f t="shared" si="6"/>
        <v>84</v>
      </c>
      <c r="H80" s="9" t="s">
        <v>14</v>
      </c>
      <c r="I80" s="4">
        <v>80.3</v>
      </c>
      <c r="J80" s="4">
        <f>ROUND(I80*77.85/78.72,2)</f>
        <v>79.41</v>
      </c>
      <c r="K80" s="4">
        <f t="shared" si="7"/>
        <v>73.76</v>
      </c>
    </row>
    <row r="81" spans="1:11" ht="20.25" customHeight="1">
      <c r="A81" s="3">
        <v>79</v>
      </c>
      <c r="B81" s="8">
        <v>180034</v>
      </c>
      <c r="C81" s="9"/>
      <c r="D81" s="9" t="str">
        <f>"2018012027"</f>
        <v>2018012027</v>
      </c>
      <c r="E81" s="9">
        <v>31.5</v>
      </c>
      <c r="F81" s="9">
        <v>108</v>
      </c>
      <c r="G81" s="9">
        <f t="shared" si="6"/>
        <v>85.05</v>
      </c>
      <c r="H81" s="9" t="s">
        <v>16</v>
      </c>
      <c r="I81" s="4">
        <v>75.6</v>
      </c>
      <c r="J81" s="4">
        <f>ROUND(I81*77.85/75.61,2)</f>
        <v>77.84</v>
      </c>
      <c r="K81" s="4">
        <f t="shared" si="7"/>
        <v>73.66</v>
      </c>
    </row>
    <row r="82" spans="1:11" ht="20.25" customHeight="1">
      <c r="A82" s="3">
        <v>80</v>
      </c>
      <c r="B82" s="8">
        <v>180034</v>
      </c>
      <c r="C82" s="9"/>
      <c r="D82" s="9" t="str">
        <f>"2018011122"</f>
        <v>2018011122</v>
      </c>
      <c r="E82" s="9">
        <v>43</v>
      </c>
      <c r="F82" s="9">
        <v>99</v>
      </c>
      <c r="G82" s="9">
        <f t="shared" si="6"/>
        <v>82.2</v>
      </c>
      <c r="H82" s="9" t="s">
        <v>15</v>
      </c>
      <c r="I82" s="4">
        <v>83.8</v>
      </c>
      <c r="J82" s="4">
        <f>ROUND(I82*77.85/80.36,2)</f>
        <v>81.18</v>
      </c>
      <c r="K82" s="4">
        <f t="shared" si="7"/>
        <v>73.57</v>
      </c>
    </row>
    <row r="83" spans="1:11" ht="20.25" customHeight="1">
      <c r="A83" s="3">
        <v>81</v>
      </c>
      <c r="B83" s="8">
        <v>180034</v>
      </c>
      <c r="C83" s="9"/>
      <c r="D83" s="9" t="str">
        <f>"2018011425"</f>
        <v>2018011425</v>
      </c>
      <c r="E83" s="9">
        <v>60</v>
      </c>
      <c r="F83" s="9">
        <v>96</v>
      </c>
      <c r="G83" s="9">
        <f t="shared" si="6"/>
        <v>85.19999999999999</v>
      </c>
      <c r="H83" s="9" t="s">
        <v>15</v>
      </c>
      <c r="I83" s="4">
        <v>79.8</v>
      </c>
      <c r="J83" s="4">
        <f>ROUND(I83*77.85/80.36,2)</f>
        <v>77.31</v>
      </c>
      <c r="K83" s="4">
        <f t="shared" si="7"/>
        <v>73.52</v>
      </c>
    </row>
    <row r="84" spans="1:11" ht="20.25" customHeight="1">
      <c r="A84" s="3">
        <v>82</v>
      </c>
      <c r="B84" s="8">
        <v>180034</v>
      </c>
      <c r="C84" s="9"/>
      <c r="D84" s="9" t="str">
        <f>"2018012004"</f>
        <v>2018012004</v>
      </c>
      <c r="E84" s="9">
        <v>59.5</v>
      </c>
      <c r="F84" s="9">
        <v>91</v>
      </c>
      <c r="G84" s="9">
        <f t="shared" si="6"/>
        <v>81.55</v>
      </c>
      <c r="H84" s="9" t="s">
        <v>16</v>
      </c>
      <c r="I84" s="4">
        <v>79.4</v>
      </c>
      <c r="J84" s="4">
        <f>ROUND(I84*77.85/75.61,2)</f>
        <v>81.75</v>
      </c>
      <c r="K84" s="4">
        <f t="shared" si="7"/>
        <v>73.48</v>
      </c>
    </row>
    <row r="85" spans="1:11" ht="20.25" customHeight="1">
      <c r="A85" s="3">
        <v>83</v>
      </c>
      <c r="B85" s="8">
        <v>180034</v>
      </c>
      <c r="C85" s="9"/>
      <c r="D85" s="9" t="str">
        <f>"2018011101"</f>
        <v>2018011101</v>
      </c>
      <c r="E85" s="9">
        <v>47</v>
      </c>
      <c r="F85" s="9">
        <v>97</v>
      </c>
      <c r="G85" s="9">
        <f t="shared" si="6"/>
        <v>81.99999999999999</v>
      </c>
      <c r="H85" s="9" t="s">
        <v>16</v>
      </c>
      <c r="I85" s="4">
        <v>78.6</v>
      </c>
      <c r="J85" s="4">
        <f>ROUND(I85*77.85/75.61,2)</f>
        <v>80.93</v>
      </c>
      <c r="K85" s="4">
        <f t="shared" si="7"/>
        <v>73.37</v>
      </c>
    </row>
    <row r="86" spans="1:11" ht="20.25" customHeight="1">
      <c r="A86" s="3">
        <v>84</v>
      </c>
      <c r="B86" s="8">
        <v>180034</v>
      </c>
      <c r="C86" s="9"/>
      <c r="D86" s="9" t="str">
        <f>"2018011308"</f>
        <v>2018011308</v>
      </c>
      <c r="E86" s="9">
        <v>42</v>
      </c>
      <c r="F86" s="9">
        <v>96</v>
      </c>
      <c r="G86" s="9">
        <f t="shared" si="6"/>
        <v>79.79999999999998</v>
      </c>
      <c r="H86" s="9" t="s">
        <v>16</v>
      </c>
      <c r="I86" s="4">
        <v>81</v>
      </c>
      <c r="J86" s="4">
        <f>ROUND(I86*77.85/75.61,2)</f>
        <v>83.4</v>
      </c>
      <c r="K86" s="4">
        <f t="shared" si="7"/>
        <v>73.26</v>
      </c>
    </row>
    <row r="87" spans="1:11" ht="20.25" customHeight="1">
      <c r="A87" s="3">
        <v>85</v>
      </c>
      <c r="B87" s="8">
        <v>180035</v>
      </c>
      <c r="C87" s="9"/>
      <c r="D87" s="9" t="str">
        <f>"2018012310"</f>
        <v>2018012310</v>
      </c>
      <c r="E87" s="9">
        <v>61.5</v>
      </c>
      <c r="F87" s="9">
        <v>97</v>
      </c>
      <c r="G87" s="9">
        <f aca="true" t="shared" si="8" ref="G87:G109">E87*0.3+F87*0.7</f>
        <v>86.35</v>
      </c>
      <c r="H87" s="9"/>
      <c r="I87" s="4">
        <v>69.4</v>
      </c>
      <c r="J87" s="4">
        <f aca="true" t="shared" si="9" ref="J87:J101">I87</f>
        <v>69.4</v>
      </c>
      <c r="K87" s="4">
        <f aca="true" t="shared" si="10" ref="K87:K109">ROUND(G87/1.2*0.6+J87*0.4,2)</f>
        <v>70.94</v>
      </c>
    </row>
    <row r="88" spans="1:11" ht="20.25" customHeight="1">
      <c r="A88" s="3">
        <v>86</v>
      </c>
      <c r="B88" s="8">
        <v>180035</v>
      </c>
      <c r="C88" s="9"/>
      <c r="D88" s="9" t="str">
        <f>"2018012225"</f>
        <v>2018012225</v>
      </c>
      <c r="E88" s="9">
        <v>42</v>
      </c>
      <c r="F88" s="9">
        <v>100</v>
      </c>
      <c r="G88" s="9">
        <f t="shared" si="8"/>
        <v>82.6</v>
      </c>
      <c r="H88" s="9"/>
      <c r="I88" s="4">
        <v>72.8</v>
      </c>
      <c r="J88" s="4">
        <f t="shared" si="9"/>
        <v>72.8</v>
      </c>
      <c r="K88" s="4">
        <f t="shared" si="10"/>
        <v>70.42</v>
      </c>
    </row>
    <row r="89" spans="1:11" ht="20.25" customHeight="1">
      <c r="A89" s="3">
        <v>87</v>
      </c>
      <c r="B89" s="8">
        <v>180035</v>
      </c>
      <c r="C89" s="9"/>
      <c r="D89" s="9" t="str">
        <f>"2018012215"</f>
        <v>2018012215</v>
      </c>
      <c r="E89" s="9">
        <v>50</v>
      </c>
      <c r="F89" s="9">
        <v>92</v>
      </c>
      <c r="G89" s="9">
        <f t="shared" si="8"/>
        <v>79.39999999999999</v>
      </c>
      <c r="H89" s="9"/>
      <c r="I89" s="4">
        <v>75</v>
      </c>
      <c r="J89" s="4">
        <f t="shared" si="9"/>
        <v>75</v>
      </c>
      <c r="K89" s="4">
        <f t="shared" si="10"/>
        <v>69.7</v>
      </c>
    </row>
    <row r="90" spans="1:11" ht="20.25" customHeight="1">
      <c r="A90" s="3">
        <v>88</v>
      </c>
      <c r="B90" s="8">
        <v>180035</v>
      </c>
      <c r="C90" s="9"/>
      <c r="D90" s="9" t="str">
        <f>"2018012305"</f>
        <v>2018012305</v>
      </c>
      <c r="E90" s="9">
        <v>50</v>
      </c>
      <c r="F90" s="9">
        <v>93</v>
      </c>
      <c r="G90" s="9">
        <f t="shared" si="8"/>
        <v>80.1</v>
      </c>
      <c r="H90" s="9"/>
      <c r="I90" s="4">
        <v>73.8</v>
      </c>
      <c r="J90" s="4">
        <f t="shared" si="9"/>
        <v>73.8</v>
      </c>
      <c r="K90" s="4">
        <f t="shared" si="10"/>
        <v>69.57</v>
      </c>
    </row>
    <row r="91" spans="1:11" ht="20.25" customHeight="1">
      <c r="A91" s="3">
        <v>89</v>
      </c>
      <c r="B91" s="8">
        <v>180035</v>
      </c>
      <c r="C91" s="9"/>
      <c r="D91" s="9" t="str">
        <f>"2018012306"</f>
        <v>2018012306</v>
      </c>
      <c r="E91" s="9">
        <v>45.5</v>
      </c>
      <c r="F91" s="9">
        <v>101</v>
      </c>
      <c r="G91" s="9">
        <f t="shared" si="8"/>
        <v>84.35</v>
      </c>
      <c r="H91" s="9"/>
      <c r="I91" s="4">
        <v>67</v>
      </c>
      <c r="J91" s="4">
        <f t="shared" si="9"/>
        <v>67</v>
      </c>
      <c r="K91" s="4">
        <f t="shared" si="10"/>
        <v>68.98</v>
      </c>
    </row>
    <row r="92" spans="1:11" ht="20.25" customHeight="1">
      <c r="A92" s="3">
        <v>90</v>
      </c>
      <c r="B92" s="8">
        <v>180035</v>
      </c>
      <c r="C92" s="9"/>
      <c r="D92" s="9" t="str">
        <f>"2018012217"</f>
        <v>2018012217</v>
      </c>
      <c r="E92" s="9">
        <v>46.5</v>
      </c>
      <c r="F92" s="9">
        <v>85</v>
      </c>
      <c r="G92" s="9">
        <f t="shared" si="8"/>
        <v>73.44999999999999</v>
      </c>
      <c r="H92" s="9"/>
      <c r="I92" s="4">
        <v>79.8</v>
      </c>
      <c r="J92" s="4">
        <f t="shared" si="9"/>
        <v>79.8</v>
      </c>
      <c r="K92" s="4">
        <f t="shared" si="10"/>
        <v>68.65</v>
      </c>
    </row>
    <row r="93" spans="1:11" ht="20.25" customHeight="1">
      <c r="A93" s="3">
        <v>91</v>
      </c>
      <c r="B93" s="8">
        <v>180035</v>
      </c>
      <c r="C93" s="9"/>
      <c r="D93" s="9" t="str">
        <f>"2018012220"</f>
        <v>2018012220</v>
      </c>
      <c r="E93" s="9">
        <v>51</v>
      </c>
      <c r="F93" s="9">
        <v>86</v>
      </c>
      <c r="G93" s="9">
        <f t="shared" si="8"/>
        <v>75.5</v>
      </c>
      <c r="H93" s="9"/>
      <c r="I93" s="4">
        <v>76.6</v>
      </c>
      <c r="J93" s="4">
        <f t="shared" si="9"/>
        <v>76.6</v>
      </c>
      <c r="K93" s="4">
        <f t="shared" si="10"/>
        <v>68.39</v>
      </c>
    </row>
    <row r="94" spans="1:11" ht="20.25" customHeight="1">
      <c r="A94" s="3">
        <v>92</v>
      </c>
      <c r="B94" s="8">
        <v>180035</v>
      </c>
      <c r="C94" s="9"/>
      <c r="D94" s="9" t="str">
        <f>"2018012229"</f>
        <v>2018012229</v>
      </c>
      <c r="E94" s="9">
        <v>44</v>
      </c>
      <c r="F94" s="9">
        <v>88</v>
      </c>
      <c r="G94" s="9">
        <f t="shared" si="8"/>
        <v>74.8</v>
      </c>
      <c r="H94" s="9"/>
      <c r="I94" s="4">
        <v>73.8</v>
      </c>
      <c r="J94" s="4">
        <f t="shared" si="9"/>
        <v>73.8</v>
      </c>
      <c r="K94" s="4">
        <f t="shared" si="10"/>
        <v>66.92</v>
      </c>
    </row>
    <row r="95" spans="1:11" ht="20.25" customHeight="1">
      <c r="A95" s="3">
        <v>93</v>
      </c>
      <c r="B95" s="8">
        <v>180035</v>
      </c>
      <c r="C95" s="9"/>
      <c r="D95" s="9" t="str">
        <f>"2018012319"</f>
        <v>2018012319</v>
      </c>
      <c r="E95" s="9">
        <v>40.5</v>
      </c>
      <c r="F95" s="9">
        <v>87</v>
      </c>
      <c r="G95" s="9">
        <f t="shared" si="8"/>
        <v>73.05</v>
      </c>
      <c r="H95" s="9"/>
      <c r="I95" s="4">
        <v>74.6</v>
      </c>
      <c r="J95" s="4">
        <f t="shared" si="9"/>
        <v>74.6</v>
      </c>
      <c r="K95" s="4">
        <f t="shared" si="10"/>
        <v>66.37</v>
      </c>
    </row>
    <row r="96" spans="1:11" ht="20.25" customHeight="1">
      <c r="A96" s="3">
        <v>94</v>
      </c>
      <c r="B96" s="8">
        <v>180035</v>
      </c>
      <c r="C96" s="9"/>
      <c r="D96" s="9" t="str">
        <f>"2018012308"</f>
        <v>2018012308</v>
      </c>
      <c r="E96" s="9">
        <v>39.5</v>
      </c>
      <c r="F96" s="9">
        <v>88</v>
      </c>
      <c r="G96" s="9">
        <f t="shared" si="8"/>
        <v>73.44999999999999</v>
      </c>
      <c r="H96" s="9"/>
      <c r="I96" s="4">
        <v>74</v>
      </c>
      <c r="J96" s="4">
        <f t="shared" si="9"/>
        <v>74</v>
      </c>
      <c r="K96" s="4">
        <f t="shared" si="10"/>
        <v>66.33</v>
      </c>
    </row>
    <row r="97" spans="1:11" ht="20.25" customHeight="1">
      <c r="A97" s="3">
        <v>95</v>
      </c>
      <c r="B97" s="8">
        <v>180035</v>
      </c>
      <c r="C97" s="9"/>
      <c r="D97" s="9" t="str">
        <f>"2018012326"</f>
        <v>2018012326</v>
      </c>
      <c r="E97" s="9">
        <v>45</v>
      </c>
      <c r="F97" s="9">
        <v>86</v>
      </c>
      <c r="G97" s="9">
        <f t="shared" si="8"/>
        <v>73.69999999999999</v>
      </c>
      <c r="H97" s="9"/>
      <c r="I97" s="4">
        <v>72.8</v>
      </c>
      <c r="J97" s="4">
        <f t="shared" si="9"/>
        <v>72.8</v>
      </c>
      <c r="K97" s="4">
        <f t="shared" si="10"/>
        <v>65.97</v>
      </c>
    </row>
    <row r="98" spans="1:11" ht="20.25" customHeight="1">
      <c r="A98" s="3">
        <v>96</v>
      </c>
      <c r="B98" s="8">
        <v>180035</v>
      </c>
      <c r="C98" s="9"/>
      <c r="D98" s="9" t="str">
        <f>"2018012214"</f>
        <v>2018012214</v>
      </c>
      <c r="E98" s="9">
        <v>42</v>
      </c>
      <c r="F98" s="9">
        <v>84</v>
      </c>
      <c r="G98" s="9">
        <f t="shared" si="8"/>
        <v>71.39999999999999</v>
      </c>
      <c r="H98" s="9"/>
      <c r="I98" s="4">
        <v>75.4</v>
      </c>
      <c r="J98" s="4">
        <f t="shared" si="9"/>
        <v>75.4</v>
      </c>
      <c r="K98" s="4">
        <f t="shared" si="10"/>
        <v>65.86</v>
      </c>
    </row>
    <row r="99" spans="1:11" ht="20.25" customHeight="1">
      <c r="A99" s="3">
        <v>97</v>
      </c>
      <c r="B99" s="8">
        <v>180035</v>
      </c>
      <c r="C99" s="9"/>
      <c r="D99" s="9" t="str">
        <f>"2018012219"</f>
        <v>2018012219</v>
      </c>
      <c r="E99" s="9">
        <v>47</v>
      </c>
      <c r="F99" s="9">
        <v>80</v>
      </c>
      <c r="G99" s="9">
        <f t="shared" si="8"/>
        <v>70.1</v>
      </c>
      <c r="H99" s="9"/>
      <c r="I99" s="4">
        <v>76.6</v>
      </c>
      <c r="J99" s="4">
        <f t="shared" si="9"/>
        <v>76.6</v>
      </c>
      <c r="K99" s="4">
        <f t="shared" si="10"/>
        <v>65.69</v>
      </c>
    </row>
    <row r="100" spans="1:11" ht="20.25" customHeight="1">
      <c r="A100" s="3">
        <v>98</v>
      </c>
      <c r="B100" s="8">
        <v>180035</v>
      </c>
      <c r="C100" s="9"/>
      <c r="D100" s="9" t="str">
        <f>"2018012327"</f>
        <v>2018012327</v>
      </c>
      <c r="E100" s="9">
        <v>46.5</v>
      </c>
      <c r="F100" s="9">
        <v>84</v>
      </c>
      <c r="G100" s="9">
        <f t="shared" si="8"/>
        <v>72.75</v>
      </c>
      <c r="H100" s="9"/>
      <c r="I100" s="4">
        <v>73.2</v>
      </c>
      <c r="J100" s="4">
        <f t="shared" si="9"/>
        <v>73.2</v>
      </c>
      <c r="K100" s="4">
        <f t="shared" si="10"/>
        <v>65.66</v>
      </c>
    </row>
    <row r="101" spans="1:11" ht="20.25" customHeight="1">
      <c r="A101" s="3">
        <v>99</v>
      </c>
      <c r="B101" s="8">
        <v>180035</v>
      </c>
      <c r="C101" s="9"/>
      <c r="D101" s="9" t="str">
        <f>"2018012227"</f>
        <v>2018012227</v>
      </c>
      <c r="E101" s="9">
        <v>58</v>
      </c>
      <c r="F101" s="9">
        <v>83</v>
      </c>
      <c r="G101" s="9">
        <f t="shared" si="8"/>
        <v>75.5</v>
      </c>
      <c r="H101" s="9"/>
      <c r="I101" s="4">
        <v>69.4</v>
      </c>
      <c r="J101" s="4">
        <f t="shared" si="9"/>
        <v>69.4</v>
      </c>
      <c r="K101" s="4">
        <f t="shared" si="10"/>
        <v>65.51</v>
      </c>
    </row>
    <row r="102" spans="1:11" ht="20.25" customHeight="1">
      <c r="A102" s="3">
        <v>100</v>
      </c>
      <c r="B102" s="8">
        <v>180036</v>
      </c>
      <c r="C102" s="9"/>
      <c r="D102" s="9" t="str">
        <f>"2018013320"</f>
        <v>2018013320</v>
      </c>
      <c r="E102" s="9">
        <v>47</v>
      </c>
      <c r="F102" s="9">
        <v>107</v>
      </c>
      <c r="G102" s="9">
        <f t="shared" si="8"/>
        <v>88.99999999999999</v>
      </c>
      <c r="H102" s="9"/>
      <c r="I102" s="4">
        <v>81.2</v>
      </c>
      <c r="J102" s="4">
        <f aca="true" t="shared" si="11" ref="J102:J111">I102</f>
        <v>81.2</v>
      </c>
      <c r="K102" s="4">
        <f t="shared" si="10"/>
        <v>76.98</v>
      </c>
    </row>
    <row r="103" spans="1:11" ht="20.25" customHeight="1">
      <c r="A103" s="3">
        <v>101</v>
      </c>
      <c r="B103" s="8">
        <v>180036</v>
      </c>
      <c r="C103" s="9"/>
      <c r="D103" s="9" t="str">
        <f>"2018013513"</f>
        <v>2018013513</v>
      </c>
      <c r="E103" s="9">
        <v>63</v>
      </c>
      <c r="F103" s="9">
        <v>95</v>
      </c>
      <c r="G103" s="9">
        <f t="shared" si="8"/>
        <v>85.4</v>
      </c>
      <c r="H103" s="9"/>
      <c r="I103" s="4">
        <v>81</v>
      </c>
      <c r="J103" s="4">
        <f t="shared" si="11"/>
        <v>81</v>
      </c>
      <c r="K103" s="4">
        <f t="shared" si="10"/>
        <v>75.1</v>
      </c>
    </row>
    <row r="104" spans="1:11" ht="20.25" customHeight="1">
      <c r="A104" s="3">
        <v>102</v>
      </c>
      <c r="B104" s="8">
        <v>180036</v>
      </c>
      <c r="C104" s="9"/>
      <c r="D104" s="9" t="str">
        <f>"2018013327"</f>
        <v>2018013327</v>
      </c>
      <c r="E104" s="9">
        <v>55.5</v>
      </c>
      <c r="F104" s="9">
        <v>95</v>
      </c>
      <c r="G104" s="9">
        <f t="shared" si="8"/>
        <v>83.15</v>
      </c>
      <c r="H104" s="9"/>
      <c r="I104" s="4">
        <v>80.2</v>
      </c>
      <c r="J104" s="4">
        <f t="shared" si="11"/>
        <v>80.2</v>
      </c>
      <c r="K104" s="4">
        <f t="shared" si="10"/>
        <v>73.66</v>
      </c>
    </row>
    <row r="105" spans="1:11" ht="20.25" customHeight="1">
      <c r="A105" s="3">
        <v>103</v>
      </c>
      <c r="B105" s="8">
        <v>180036</v>
      </c>
      <c r="C105" s="9"/>
      <c r="D105" s="9" t="str">
        <f>"2018013515"</f>
        <v>2018013515</v>
      </c>
      <c r="E105" s="9">
        <v>51</v>
      </c>
      <c r="F105" s="9">
        <v>93</v>
      </c>
      <c r="G105" s="9">
        <f t="shared" si="8"/>
        <v>80.39999999999999</v>
      </c>
      <c r="H105" s="9"/>
      <c r="I105" s="4">
        <v>81.4</v>
      </c>
      <c r="J105" s="4">
        <f t="shared" si="11"/>
        <v>81.4</v>
      </c>
      <c r="K105" s="4">
        <f t="shared" si="10"/>
        <v>72.76</v>
      </c>
    </row>
    <row r="106" spans="1:11" ht="20.25" customHeight="1">
      <c r="A106" s="3">
        <v>104</v>
      </c>
      <c r="B106" s="8">
        <v>180036</v>
      </c>
      <c r="C106" s="9"/>
      <c r="D106" s="9" t="str">
        <f>"2018013504"</f>
        <v>2018013504</v>
      </c>
      <c r="E106" s="9">
        <v>50</v>
      </c>
      <c r="F106" s="9">
        <v>91</v>
      </c>
      <c r="G106" s="9">
        <f t="shared" si="8"/>
        <v>78.69999999999999</v>
      </c>
      <c r="H106" s="9"/>
      <c r="I106" s="4">
        <v>79.6</v>
      </c>
      <c r="J106" s="4">
        <f t="shared" si="11"/>
        <v>79.6</v>
      </c>
      <c r="K106" s="4">
        <f t="shared" si="10"/>
        <v>71.19</v>
      </c>
    </row>
    <row r="107" spans="1:11" ht="20.25" customHeight="1">
      <c r="A107" s="3">
        <v>105</v>
      </c>
      <c r="B107" s="8">
        <v>180036</v>
      </c>
      <c r="C107" s="9"/>
      <c r="D107" s="9" t="str">
        <f>"2018013516"</f>
        <v>2018013516</v>
      </c>
      <c r="E107" s="9">
        <v>31.5</v>
      </c>
      <c r="F107" s="9">
        <v>95</v>
      </c>
      <c r="G107" s="9">
        <f t="shared" si="8"/>
        <v>75.95</v>
      </c>
      <c r="H107" s="9"/>
      <c r="I107" s="4">
        <v>82.4</v>
      </c>
      <c r="J107" s="4">
        <f t="shared" si="11"/>
        <v>82.4</v>
      </c>
      <c r="K107" s="4">
        <f t="shared" si="10"/>
        <v>70.94</v>
      </c>
    </row>
    <row r="108" spans="1:11" ht="20.25" customHeight="1">
      <c r="A108" s="3">
        <v>106</v>
      </c>
      <c r="B108" s="8">
        <v>180036</v>
      </c>
      <c r="C108" s="9"/>
      <c r="D108" s="9" t="str">
        <f>"2018013426"</f>
        <v>2018013426</v>
      </c>
      <c r="E108" s="9">
        <v>61</v>
      </c>
      <c r="F108" s="9">
        <v>80</v>
      </c>
      <c r="G108" s="9">
        <f t="shared" si="8"/>
        <v>74.3</v>
      </c>
      <c r="H108" s="9"/>
      <c r="I108" s="4">
        <v>84.2</v>
      </c>
      <c r="J108" s="4">
        <f t="shared" si="11"/>
        <v>84.2</v>
      </c>
      <c r="K108" s="4">
        <f t="shared" si="10"/>
        <v>70.83</v>
      </c>
    </row>
    <row r="109" spans="1:11" ht="20.25" customHeight="1">
      <c r="A109" s="3">
        <v>107</v>
      </c>
      <c r="B109" s="8">
        <v>180036</v>
      </c>
      <c r="C109" s="9"/>
      <c r="D109" s="9" t="str">
        <f>"2018013503"</f>
        <v>2018013503</v>
      </c>
      <c r="E109" s="9">
        <v>37</v>
      </c>
      <c r="F109" s="9">
        <v>91</v>
      </c>
      <c r="G109" s="9">
        <f t="shared" si="8"/>
        <v>74.8</v>
      </c>
      <c r="H109" s="9"/>
      <c r="I109" s="4">
        <v>83.2</v>
      </c>
      <c r="J109" s="4">
        <f t="shared" si="11"/>
        <v>83.2</v>
      </c>
      <c r="K109" s="4">
        <f t="shared" si="10"/>
        <v>70.68</v>
      </c>
    </row>
    <row r="110" spans="1:11" ht="20.25" customHeight="1">
      <c r="A110" s="3">
        <v>108</v>
      </c>
      <c r="B110" s="8">
        <v>180039</v>
      </c>
      <c r="C110" s="9"/>
      <c r="D110" s="9" t="str">
        <f>"2018014020"</f>
        <v>2018014020</v>
      </c>
      <c r="E110" s="9">
        <v>71</v>
      </c>
      <c r="F110" s="9">
        <v>75</v>
      </c>
      <c r="G110" s="9">
        <f aca="true" t="shared" si="12" ref="G110:G122">E110*0.3+F110*0.7</f>
        <v>73.8</v>
      </c>
      <c r="H110" s="9"/>
      <c r="I110" s="4">
        <v>78</v>
      </c>
      <c r="J110" s="4">
        <f t="shared" si="11"/>
        <v>78</v>
      </c>
      <c r="K110" s="4">
        <f aca="true" t="shared" si="13" ref="K110:K143">ROUND(G110/1.2*0.6+J110*0.4,2)</f>
        <v>68.1</v>
      </c>
    </row>
    <row r="111" spans="1:11" ht="20.25" customHeight="1">
      <c r="A111" s="3">
        <v>109</v>
      </c>
      <c r="B111" s="8">
        <v>180040</v>
      </c>
      <c r="C111" s="9"/>
      <c r="D111" s="9" t="str">
        <f>"2018014023"</f>
        <v>2018014023</v>
      </c>
      <c r="E111" s="9">
        <v>73</v>
      </c>
      <c r="F111" s="9">
        <v>101</v>
      </c>
      <c r="G111" s="9">
        <f t="shared" si="12"/>
        <v>92.6</v>
      </c>
      <c r="H111" s="9"/>
      <c r="I111" s="4">
        <v>64.4</v>
      </c>
      <c r="J111" s="4">
        <f t="shared" si="11"/>
        <v>64.4</v>
      </c>
      <c r="K111" s="4">
        <f t="shared" si="13"/>
        <v>72.06</v>
      </c>
    </row>
    <row r="112" spans="1:11" ht="20.25" customHeight="1">
      <c r="A112" s="3">
        <v>110</v>
      </c>
      <c r="B112" s="8">
        <v>180041</v>
      </c>
      <c r="C112" s="9"/>
      <c r="D112" s="9" t="str">
        <f>"2018014103"</f>
        <v>2018014103</v>
      </c>
      <c r="E112" s="9">
        <v>57</v>
      </c>
      <c r="F112" s="9">
        <v>70</v>
      </c>
      <c r="G112" s="9">
        <f t="shared" si="12"/>
        <v>66.1</v>
      </c>
      <c r="H112" s="9"/>
      <c r="I112" s="4">
        <v>79.8</v>
      </c>
      <c r="J112" s="4">
        <f aca="true" t="shared" si="14" ref="J112:J117">I112</f>
        <v>79.8</v>
      </c>
      <c r="K112" s="4">
        <f t="shared" si="13"/>
        <v>64.97</v>
      </c>
    </row>
    <row r="113" spans="1:11" ht="20.25" customHeight="1">
      <c r="A113" s="3">
        <v>111</v>
      </c>
      <c r="B113" s="8">
        <v>180056</v>
      </c>
      <c r="C113" s="9"/>
      <c r="D113" s="9" t="str">
        <f>"2018014109"</f>
        <v>2018014109</v>
      </c>
      <c r="E113" s="9">
        <v>52.5</v>
      </c>
      <c r="F113" s="9">
        <v>93</v>
      </c>
      <c r="G113" s="9">
        <f t="shared" si="12"/>
        <v>80.85</v>
      </c>
      <c r="H113" s="9"/>
      <c r="I113" s="4">
        <v>72.4</v>
      </c>
      <c r="J113" s="4">
        <f t="shared" si="14"/>
        <v>72.4</v>
      </c>
      <c r="K113" s="4">
        <f t="shared" si="13"/>
        <v>69.39</v>
      </c>
    </row>
    <row r="114" spans="1:11" ht="20.25" customHeight="1">
      <c r="A114" s="3">
        <v>112</v>
      </c>
      <c r="B114" s="8">
        <v>180056</v>
      </c>
      <c r="C114" s="9"/>
      <c r="D114" s="9" t="str">
        <f>"2018014113"</f>
        <v>2018014113</v>
      </c>
      <c r="E114" s="9">
        <v>52.5</v>
      </c>
      <c r="F114" s="9">
        <v>79</v>
      </c>
      <c r="G114" s="9">
        <f t="shared" si="12"/>
        <v>71.05</v>
      </c>
      <c r="H114" s="9"/>
      <c r="I114" s="4">
        <v>80.4</v>
      </c>
      <c r="J114" s="4">
        <f t="shared" si="14"/>
        <v>80.4</v>
      </c>
      <c r="K114" s="4">
        <f t="shared" si="13"/>
        <v>67.69</v>
      </c>
    </row>
    <row r="115" spans="1:11" ht="20.25" customHeight="1">
      <c r="A115" s="3">
        <v>113</v>
      </c>
      <c r="B115" s="8">
        <v>180058</v>
      </c>
      <c r="C115" s="9"/>
      <c r="D115" s="9" t="str">
        <f>"2018013618"</f>
        <v>2018013618</v>
      </c>
      <c r="E115" s="9">
        <v>41</v>
      </c>
      <c r="F115" s="9">
        <v>72</v>
      </c>
      <c r="G115" s="9">
        <f t="shared" si="12"/>
        <v>62.699999999999996</v>
      </c>
      <c r="H115" s="9"/>
      <c r="I115" s="4">
        <v>76.4</v>
      </c>
      <c r="J115" s="4">
        <f t="shared" si="14"/>
        <v>76.4</v>
      </c>
      <c r="K115" s="4">
        <f t="shared" si="13"/>
        <v>61.91</v>
      </c>
    </row>
    <row r="116" spans="1:11" ht="20.25" customHeight="1">
      <c r="A116" s="3">
        <v>114</v>
      </c>
      <c r="B116" s="8">
        <v>180061</v>
      </c>
      <c r="C116" s="9"/>
      <c r="D116" s="9" t="str">
        <f>"2018013626"</f>
        <v>2018013626</v>
      </c>
      <c r="E116" s="9">
        <v>51.5</v>
      </c>
      <c r="F116" s="9">
        <v>83</v>
      </c>
      <c r="G116" s="9">
        <f t="shared" si="12"/>
        <v>73.55</v>
      </c>
      <c r="H116" s="9"/>
      <c r="I116" s="4">
        <v>81.8</v>
      </c>
      <c r="J116" s="4">
        <f t="shared" si="14"/>
        <v>81.8</v>
      </c>
      <c r="K116" s="4">
        <f t="shared" si="13"/>
        <v>69.5</v>
      </c>
    </row>
    <row r="117" spans="1:11" ht="20.25" customHeight="1">
      <c r="A117" s="3">
        <v>115</v>
      </c>
      <c r="B117" s="8">
        <v>180062</v>
      </c>
      <c r="C117" s="9"/>
      <c r="D117" s="9" t="str">
        <f>"2018013710"</f>
        <v>2018013710</v>
      </c>
      <c r="E117" s="9">
        <v>60</v>
      </c>
      <c r="F117" s="9">
        <v>71</v>
      </c>
      <c r="G117" s="9">
        <f t="shared" si="12"/>
        <v>67.69999999999999</v>
      </c>
      <c r="H117" s="9"/>
      <c r="I117" s="4">
        <v>85.6</v>
      </c>
      <c r="J117" s="4">
        <f t="shared" si="14"/>
        <v>85.6</v>
      </c>
      <c r="K117" s="4">
        <f t="shared" si="13"/>
        <v>68.09</v>
      </c>
    </row>
    <row r="118" spans="1:11" ht="20.25" customHeight="1">
      <c r="A118" s="3">
        <v>116</v>
      </c>
      <c r="B118" s="8">
        <v>180066</v>
      </c>
      <c r="C118" s="9"/>
      <c r="D118" s="9" t="str">
        <f>"2018013929"</f>
        <v>2018013929</v>
      </c>
      <c r="E118" s="9">
        <v>52</v>
      </c>
      <c r="F118" s="9">
        <v>88</v>
      </c>
      <c r="G118" s="9">
        <f t="shared" si="12"/>
        <v>77.19999999999999</v>
      </c>
      <c r="H118" s="9"/>
      <c r="I118" s="4">
        <v>78.4</v>
      </c>
      <c r="J118" s="4">
        <f>I118</f>
        <v>78.4</v>
      </c>
      <c r="K118" s="4">
        <f t="shared" si="13"/>
        <v>69.96</v>
      </c>
    </row>
    <row r="119" spans="1:11" ht="20.25" customHeight="1">
      <c r="A119" s="3">
        <v>117</v>
      </c>
      <c r="B119" s="8">
        <v>180066</v>
      </c>
      <c r="C119" s="9"/>
      <c r="D119" s="9" t="str">
        <f>"2018013928"</f>
        <v>2018013928</v>
      </c>
      <c r="E119" s="9">
        <v>68</v>
      </c>
      <c r="F119" s="9">
        <v>74</v>
      </c>
      <c r="G119" s="9">
        <f t="shared" si="12"/>
        <v>72.19999999999999</v>
      </c>
      <c r="H119" s="9"/>
      <c r="I119" s="4">
        <v>75.8</v>
      </c>
      <c r="J119" s="4">
        <f>I119</f>
        <v>75.8</v>
      </c>
      <c r="K119" s="4">
        <f t="shared" si="13"/>
        <v>66.42</v>
      </c>
    </row>
    <row r="120" spans="1:11" ht="20.25" customHeight="1">
      <c r="A120" s="3">
        <v>118</v>
      </c>
      <c r="B120" s="8">
        <v>180066</v>
      </c>
      <c r="C120" s="9"/>
      <c r="D120" s="9" t="str">
        <f>"2018013926"</f>
        <v>2018013926</v>
      </c>
      <c r="E120" s="9">
        <v>45</v>
      </c>
      <c r="F120" s="9">
        <v>78</v>
      </c>
      <c r="G120" s="9">
        <f t="shared" si="12"/>
        <v>68.1</v>
      </c>
      <c r="H120" s="9"/>
      <c r="I120" s="4">
        <v>79.2</v>
      </c>
      <c r="J120" s="4">
        <f>I120</f>
        <v>79.2</v>
      </c>
      <c r="K120" s="4">
        <f t="shared" si="13"/>
        <v>65.73</v>
      </c>
    </row>
    <row r="121" spans="1:11" ht="20.25" customHeight="1">
      <c r="A121" s="3">
        <v>119</v>
      </c>
      <c r="B121" s="8">
        <v>180069</v>
      </c>
      <c r="C121" s="9"/>
      <c r="D121" s="9" t="str">
        <f>"2018012909"</f>
        <v>2018012909</v>
      </c>
      <c r="E121" s="9">
        <v>45</v>
      </c>
      <c r="F121" s="9">
        <v>103</v>
      </c>
      <c r="G121" s="9">
        <f t="shared" si="12"/>
        <v>85.6</v>
      </c>
      <c r="H121" s="9" t="s">
        <v>9</v>
      </c>
      <c r="I121" s="4">
        <v>79.8</v>
      </c>
      <c r="J121" s="4">
        <f>ROUND(I121*74.85/71.05,2)</f>
        <v>84.07</v>
      </c>
      <c r="K121" s="4">
        <f t="shared" si="13"/>
        <v>76.43</v>
      </c>
    </row>
    <row r="122" spans="1:11" ht="20.25" customHeight="1">
      <c r="A122" s="3">
        <v>120</v>
      </c>
      <c r="B122" s="8">
        <v>180069</v>
      </c>
      <c r="C122" s="9"/>
      <c r="D122" s="9" t="str">
        <f>"2018012513"</f>
        <v>2018012513</v>
      </c>
      <c r="E122" s="9">
        <v>45.5</v>
      </c>
      <c r="F122" s="9">
        <v>101</v>
      </c>
      <c r="G122" s="9">
        <f t="shared" si="12"/>
        <v>84.35</v>
      </c>
      <c r="H122" s="9" t="s">
        <v>9</v>
      </c>
      <c r="I122" s="4">
        <v>80.8</v>
      </c>
      <c r="J122" s="4">
        <f>ROUND(I122*74.85/71.05,2)</f>
        <v>85.12</v>
      </c>
      <c r="K122" s="4">
        <f t="shared" si="13"/>
        <v>76.22</v>
      </c>
    </row>
    <row r="123" spans="1:11" ht="20.25" customHeight="1">
      <c r="A123" s="3">
        <v>121</v>
      </c>
      <c r="B123" s="8">
        <v>180069</v>
      </c>
      <c r="C123" s="9"/>
      <c r="D123" s="9" t="str">
        <f>"2018012517"</f>
        <v>2018012517</v>
      </c>
      <c r="E123" s="9">
        <v>40</v>
      </c>
      <c r="F123" s="9">
        <v>105</v>
      </c>
      <c r="G123" s="9">
        <f aca="true" t="shared" si="15" ref="G123:G154">E123*0.3+F123*0.7</f>
        <v>85.5</v>
      </c>
      <c r="H123" s="9" t="s">
        <v>13</v>
      </c>
      <c r="I123" s="4">
        <v>81.6</v>
      </c>
      <c r="J123" s="4">
        <f>ROUND(I123*74.85/74.11,2)</f>
        <v>82.41</v>
      </c>
      <c r="K123" s="4">
        <f t="shared" si="13"/>
        <v>75.71</v>
      </c>
    </row>
    <row r="124" spans="1:11" ht="20.25" customHeight="1">
      <c r="A124" s="3">
        <v>122</v>
      </c>
      <c r="B124" s="8">
        <v>180069</v>
      </c>
      <c r="C124" s="9"/>
      <c r="D124" s="9" t="str">
        <f>"2018012611"</f>
        <v>2018012611</v>
      </c>
      <c r="E124" s="9">
        <v>59.5</v>
      </c>
      <c r="F124" s="9">
        <v>99</v>
      </c>
      <c r="G124" s="9">
        <f t="shared" si="15"/>
        <v>87.14999999999999</v>
      </c>
      <c r="H124" s="9" t="s">
        <v>13</v>
      </c>
      <c r="I124" s="4">
        <v>79.12</v>
      </c>
      <c r="J124" s="4">
        <f>ROUND(I124*74.85/74.11,2)</f>
        <v>79.91</v>
      </c>
      <c r="K124" s="4">
        <f t="shared" si="13"/>
        <v>75.54</v>
      </c>
    </row>
    <row r="125" spans="1:11" ht="20.25" customHeight="1">
      <c r="A125" s="3">
        <v>123</v>
      </c>
      <c r="B125" s="8">
        <v>180069</v>
      </c>
      <c r="C125" s="9"/>
      <c r="D125" s="9" t="str">
        <f>"2018013205"</f>
        <v>2018013205</v>
      </c>
      <c r="E125" s="9">
        <v>52</v>
      </c>
      <c r="F125" s="9">
        <v>95</v>
      </c>
      <c r="G125" s="9">
        <f t="shared" si="15"/>
        <v>82.1</v>
      </c>
      <c r="H125" s="9" t="s">
        <v>9</v>
      </c>
      <c r="I125" s="4">
        <v>81.2</v>
      </c>
      <c r="J125" s="4">
        <f>ROUND(I125*74.85/71.05,2)</f>
        <v>85.54</v>
      </c>
      <c r="K125" s="4">
        <f t="shared" si="13"/>
        <v>75.27</v>
      </c>
    </row>
    <row r="126" spans="1:11" ht="20.25" customHeight="1">
      <c r="A126" s="3">
        <v>124</v>
      </c>
      <c r="B126" s="8">
        <v>180069</v>
      </c>
      <c r="C126" s="9"/>
      <c r="D126" s="9" t="str">
        <f>"2018012530"</f>
        <v>2018012530</v>
      </c>
      <c r="E126" s="9">
        <v>43.5</v>
      </c>
      <c r="F126" s="9">
        <v>104</v>
      </c>
      <c r="G126" s="9">
        <f t="shared" si="15"/>
        <v>85.85</v>
      </c>
      <c r="H126" s="9" t="s">
        <v>10</v>
      </c>
      <c r="I126" s="4">
        <v>82.6</v>
      </c>
      <c r="J126" s="4">
        <f>ROUND(I126*74.85/76.58,2)</f>
        <v>80.73</v>
      </c>
      <c r="K126" s="4">
        <f t="shared" si="13"/>
        <v>75.22</v>
      </c>
    </row>
    <row r="127" spans="1:11" ht="20.25" customHeight="1">
      <c r="A127" s="3">
        <v>125</v>
      </c>
      <c r="B127" s="8">
        <v>180069</v>
      </c>
      <c r="C127" s="9"/>
      <c r="D127" s="9" t="str">
        <f>"2018012622"</f>
        <v>2018012622</v>
      </c>
      <c r="E127" s="9">
        <v>60</v>
      </c>
      <c r="F127" s="9">
        <v>100</v>
      </c>
      <c r="G127" s="9">
        <f t="shared" si="15"/>
        <v>88</v>
      </c>
      <c r="H127" s="9" t="s">
        <v>9</v>
      </c>
      <c r="I127" s="4">
        <v>73.8</v>
      </c>
      <c r="J127" s="4">
        <f>ROUND(I127*74.85/71.05,2)</f>
        <v>77.75</v>
      </c>
      <c r="K127" s="4">
        <f t="shared" si="13"/>
        <v>75.1</v>
      </c>
    </row>
    <row r="128" spans="1:11" ht="20.25" customHeight="1">
      <c r="A128" s="3">
        <v>126</v>
      </c>
      <c r="B128" s="8">
        <v>180069</v>
      </c>
      <c r="C128" s="9"/>
      <c r="D128" s="9" t="str">
        <f>"2018012925"</f>
        <v>2018012925</v>
      </c>
      <c r="E128" s="9">
        <v>57.5</v>
      </c>
      <c r="F128" s="9">
        <v>102</v>
      </c>
      <c r="G128" s="9">
        <f t="shared" si="15"/>
        <v>88.64999999999999</v>
      </c>
      <c r="H128" s="9" t="s">
        <v>10</v>
      </c>
      <c r="I128" s="4">
        <v>78.2</v>
      </c>
      <c r="J128" s="4">
        <f>ROUND(I128*74.85/76.58,2)</f>
        <v>76.43</v>
      </c>
      <c r="K128" s="4">
        <f t="shared" si="13"/>
        <v>74.9</v>
      </c>
    </row>
    <row r="129" spans="1:11" ht="20.25" customHeight="1">
      <c r="A129" s="3">
        <v>127</v>
      </c>
      <c r="B129" s="8">
        <v>180069</v>
      </c>
      <c r="C129" s="9"/>
      <c r="D129" s="9" t="str">
        <f>"2018012429"</f>
        <v>2018012429</v>
      </c>
      <c r="E129" s="9">
        <v>44.5</v>
      </c>
      <c r="F129" s="9">
        <v>104</v>
      </c>
      <c r="G129" s="9">
        <f t="shared" si="15"/>
        <v>86.14999999999999</v>
      </c>
      <c r="H129" s="9" t="s">
        <v>9</v>
      </c>
      <c r="I129" s="4">
        <v>75.4</v>
      </c>
      <c r="J129" s="4">
        <f>ROUND(I129*74.85/71.05,2)</f>
        <v>79.43</v>
      </c>
      <c r="K129" s="4">
        <f t="shared" si="13"/>
        <v>74.85</v>
      </c>
    </row>
    <row r="130" spans="1:11" ht="20.25" customHeight="1">
      <c r="A130" s="3">
        <v>128</v>
      </c>
      <c r="B130" s="8">
        <v>180069</v>
      </c>
      <c r="C130" s="9"/>
      <c r="D130" s="9" t="str">
        <f>"2018012920"</f>
        <v>2018012920</v>
      </c>
      <c r="E130" s="9">
        <v>63</v>
      </c>
      <c r="F130" s="9">
        <v>94</v>
      </c>
      <c r="G130" s="9">
        <f t="shared" si="15"/>
        <v>84.69999999999999</v>
      </c>
      <c r="H130" s="9" t="s">
        <v>12</v>
      </c>
      <c r="I130" s="4">
        <v>83.4</v>
      </c>
      <c r="J130" s="4">
        <f>ROUND(I130*74.85/77.67,2)</f>
        <v>80.37</v>
      </c>
      <c r="K130" s="4">
        <f t="shared" si="13"/>
        <v>74.5</v>
      </c>
    </row>
    <row r="131" spans="1:11" ht="20.25" customHeight="1">
      <c r="A131" s="3">
        <v>129</v>
      </c>
      <c r="B131" s="8">
        <v>180069</v>
      </c>
      <c r="C131" s="9"/>
      <c r="D131" s="9" t="str">
        <f>"2018013014"</f>
        <v>2018013014</v>
      </c>
      <c r="E131" s="9">
        <v>53</v>
      </c>
      <c r="F131" s="9">
        <v>102</v>
      </c>
      <c r="G131" s="9">
        <f t="shared" si="15"/>
        <v>87.29999999999998</v>
      </c>
      <c r="H131" s="9" t="s">
        <v>12</v>
      </c>
      <c r="I131" s="4">
        <v>80</v>
      </c>
      <c r="J131" s="4">
        <f>ROUND(I131*74.85/77.67,2)</f>
        <v>77.1</v>
      </c>
      <c r="K131" s="4">
        <f t="shared" si="13"/>
        <v>74.49</v>
      </c>
    </row>
    <row r="132" spans="1:11" ht="20.25" customHeight="1">
      <c r="A132" s="3">
        <v>130</v>
      </c>
      <c r="B132" s="8">
        <v>180069</v>
      </c>
      <c r="C132" s="9"/>
      <c r="D132" s="9" t="str">
        <f>"2018012807"</f>
        <v>2018012807</v>
      </c>
      <c r="E132" s="9">
        <v>60.5</v>
      </c>
      <c r="F132" s="9">
        <v>97</v>
      </c>
      <c r="G132" s="9">
        <f t="shared" si="15"/>
        <v>86.04999999999998</v>
      </c>
      <c r="H132" s="9" t="s">
        <v>13</v>
      </c>
      <c r="I132" s="4">
        <v>77.6</v>
      </c>
      <c r="J132" s="4">
        <f>ROUND(I132*74.85/74.11,2)</f>
        <v>78.37</v>
      </c>
      <c r="K132" s="4">
        <f t="shared" si="13"/>
        <v>74.37</v>
      </c>
    </row>
    <row r="133" spans="1:11" ht="20.25" customHeight="1">
      <c r="A133" s="3">
        <v>131</v>
      </c>
      <c r="B133" s="8">
        <v>180069</v>
      </c>
      <c r="C133" s="9"/>
      <c r="D133" s="9" t="str">
        <f>"2018012507"</f>
        <v>2018012507</v>
      </c>
      <c r="E133" s="9">
        <v>54.5</v>
      </c>
      <c r="F133" s="9">
        <v>101</v>
      </c>
      <c r="G133" s="9">
        <f t="shared" si="15"/>
        <v>87.04999999999998</v>
      </c>
      <c r="H133" s="9" t="s">
        <v>13</v>
      </c>
      <c r="I133" s="4">
        <v>76.32</v>
      </c>
      <c r="J133" s="4">
        <f>ROUND(I133*74.85/74.11,2)</f>
        <v>77.08</v>
      </c>
      <c r="K133" s="4">
        <f t="shared" si="13"/>
        <v>74.36</v>
      </c>
    </row>
    <row r="134" spans="1:11" ht="20.25" customHeight="1">
      <c r="A134" s="3">
        <v>132</v>
      </c>
      <c r="B134" s="8">
        <v>180069</v>
      </c>
      <c r="C134" s="9"/>
      <c r="D134" s="9" t="str">
        <f>"2018013123"</f>
        <v>2018013123</v>
      </c>
      <c r="E134" s="9">
        <v>41</v>
      </c>
      <c r="F134" s="9">
        <v>99</v>
      </c>
      <c r="G134" s="9">
        <f t="shared" si="15"/>
        <v>81.6</v>
      </c>
      <c r="H134" s="9" t="s">
        <v>9</v>
      </c>
      <c r="I134" s="4">
        <v>79.4</v>
      </c>
      <c r="J134" s="4">
        <f>ROUND(I134*74.85/71.05,2)</f>
        <v>83.65</v>
      </c>
      <c r="K134" s="4">
        <f t="shared" si="13"/>
        <v>74.26</v>
      </c>
    </row>
    <row r="135" spans="1:11" ht="20.25" customHeight="1">
      <c r="A135" s="3">
        <v>133</v>
      </c>
      <c r="B135" s="8">
        <v>180069</v>
      </c>
      <c r="C135" s="9"/>
      <c r="D135" s="9" t="str">
        <f>"2018012519"</f>
        <v>2018012519</v>
      </c>
      <c r="E135" s="9">
        <v>44.5</v>
      </c>
      <c r="F135" s="9">
        <v>102</v>
      </c>
      <c r="G135" s="9">
        <f t="shared" si="15"/>
        <v>84.74999999999999</v>
      </c>
      <c r="H135" s="9" t="s">
        <v>13</v>
      </c>
      <c r="I135" s="4">
        <v>78.52</v>
      </c>
      <c r="J135" s="4">
        <f>ROUND(I135*74.85/74.11,2)</f>
        <v>79.3</v>
      </c>
      <c r="K135" s="4">
        <f t="shared" si="13"/>
        <v>74.1</v>
      </c>
    </row>
    <row r="136" spans="1:11" ht="20.25" customHeight="1">
      <c r="A136" s="3">
        <v>134</v>
      </c>
      <c r="B136" s="8">
        <v>180069</v>
      </c>
      <c r="C136" s="9"/>
      <c r="D136" s="9" t="str">
        <f>"2018013222"</f>
        <v>2018013222</v>
      </c>
      <c r="E136" s="9">
        <v>49</v>
      </c>
      <c r="F136" s="9">
        <v>90</v>
      </c>
      <c r="G136" s="9">
        <f t="shared" si="15"/>
        <v>77.69999999999999</v>
      </c>
      <c r="H136" s="9" t="s">
        <v>9</v>
      </c>
      <c r="I136" s="4">
        <v>83.2</v>
      </c>
      <c r="J136" s="4">
        <f>ROUND(I136*74.85/71.05,2)</f>
        <v>87.65</v>
      </c>
      <c r="K136" s="4">
        <f t="shared" si="13"/>
        <v>73.91</v>
      </c>
    </row>
    <row r="137" spans="1:11" ht="20.25" customHeight="1">
      <c r="A137" s="3">
        <v>135</v>
      </c>
      <c r="B137" s="8">
        <v>180069</v>
      </c>
      <c r="C137" s="9"/>
      <c r="D137" s="9" t="str">
        <f>"2018012618"</f>
        <v>2018012618</v>
      </c>
      <c r="E137" s="9">
        <v>53</v>
      </c>
      <c r="F137" s="9">
        <v>104</v>
      </c>
      <c r="G137" s="9">
        <f t="shared" si="15"/>
        <v>88.69999999999999</v>
      </c>
      <c r="H137" s="9" t="s">
        <v>10</v>
      </c>
      <c r="I137" s="4">
        <v>75.4</v>
      </c>
      <c r="J137" s="4">
        <f>ROUND(I137*74.85/76.58,2)</f>
        <v>73.7</v>
      </c>
      <c r="K137" s="4">
        <f t="shared" si="13"/>
        <v>73.83</v>
      </c>
    </row>
    <row r="138" spans="1:11" ht="20.25" customHeight="1">
      <c r="A138" s="3">
        <v>136</v>
      </c>
      <c r="B138" s="8">
        <v>180069</v>
      </c>
      <c r="C138" s="9"/>
      <c r="D138" s="9" t="str">
        <f>"2018012416"</f>
        <v>2018012416</v>
      </c>
      <c r="E138" s="9">
        <v>50</v>
      </c>
      <c r="F138" s="9">
        <v>102</v>
      </c>
      <c r="G138" s="9">
        <f t="shared" si="15"/>
        <v>86.39999999999999</v>
      </c>
      <c r="H138" s="9" t="s">
        <v>10</v>
      </c>
      <c r="I138" s="4">
        <v>78.2</v>
      </c>
      <c r="J138" s="4">
        <f>ROUND(I138*74.85/76.58,2)</f>
        <v>76.43</v>
      </c>
      <c r="K138" s="4">
        <f t="shared" si="13"/>
        <v>73.77</v>
      </c>
    </row>
    <row r="139" spans="1:11" ht="20.25" customHeight="1">
      <c r="A139" s="3">
        <v>137</v>
      </c>
      <c r="B139" s="8">
        <v>180069</v>
      </c>
      <c r="C139" s="9"/>
      <c r="D139" s="9" t="str">
        <f>"2018012804"</f>
        <v>2018012804</v>
      </c>
      <c r="E139" s="9">
        <v>44.5</v>
      </c>
      <c r="F139" s="9">
        <v>100</v>
      </c>
      <c r="G139" s="9">
        <f t="shared" si="15"/>
        <v>83.35</v>
      </c>
      <c r="H139" s="9" t="s">
        <v>12</v>
      </c>
      <c r="I139" s="4">
        <v>83.2</v>
      </c>
      <c r="J139" s="4">
        <f>ROUND(I139*74.85/77.67,2)</f>
        <v>80.18</v>
      </c>
      <c r="K139" s="4">
        <f t="shared" si="13"/>
        <v>73.75</v>
      </c>
    </row>
    <row r="140" spans="1:11" ht="20.25" customHeight="1">
      <c r="A140" s="3">
        <v>138</v>
      </c>
      <c r="B140" s="8">
        <v>180069</v>
      </c>
      <c r="C140" s="9"/>
      <c r="D140" s="9" t="str">
        <f>"2018013118"</f>
        <v>2018013118</v>
      </c>
      <c r="E140" s="9">
        <v>55</v>
      </c>
      <c r="F140" s="9">
        <v>95</v>
      </c>
      <c r="G140" s="9">
        <f t="shared" si="15"/>
        <v>83</v>
      </c>
      <c r="H140" s="9" t="s">
        <v>10</v>
      </c>
      <c r="I140" s="4">
        <v>82.2</v>
      </c>
      <c r="J140" s="4">
        <f>ROUND(I140*74.85/76.58,2)</f>
        <v>80.34</v>
      </c>
      <c r="K140" s="4">
        <f t="shared" si="13"/>
        <v>73.64</v>
      </c>
    </row>
    <row r="141" spans="1:11" ht="20.25" customHeight="1">
      <c r="A141" s="3">
        <v>139</v>
      </c>
      <c r="B141" s="8">
        <v>180069</v>
      </c>
      <c r="C141" s="9"/>
      <c r="D141" s="9" t="str">
        <f>"2018013018"</f>
        <v>2018013018</v>
      </c>
      <c r="E141" s="9">
        <v>29.5</v>
      </c>
      <c r="F141" s="9">
        <v>105</v>
      </c>
      <c r="G141" s="9">
        <f t="shared" si="15"/>
        <v>82.35</v>
      </c>
      <c r="H141" s="9" t="s">
        <v>9</v>
      </c>
      <c r="I141" s="4">
        <v>76.4</v>
      </c>
      <c r="J141" s="4">
        <f>ROUND(I141*74.85/71.05,2)</f>
        <v>80.49</v>
      </c>
      <c r="K141" s="4">
        <f t="shared" si="13"/>
        <v>73.37</v>
      </c>
    </row>
    <row r="142" spans="1:11" ht="20.25" customHeight="1">
      <c r="A142" s="3">
        <v>140</v>
      </c>
      <c r="B142" s="8">
        <v>180069</v>
      </c>
      <c r="C142" s="9"/>
      <c r="D142" s="9" t="str">
        <f>"2018012923"</f>
        <v>2018012923</v>
      </c>
      <c r="E142" s="9">
        <v>51.5</v>
      </c>
      <c r="F142" s="9">
        <v>96</v>
      </c>
      <c r="G142" s="9">
        <f t="shared" si="15"/>
        <v>82.64999999999999</v>
      </c>
      <c r="H142" s="9" t="s">
        <v>10</v>
      </c>
      <c r="I142" s="4">
        <v>81.4</v>
      </c>
      <c r="J142" s="4">
        <f>ROUND(I142*74.85/76.58,2)</f>
        <v>79.56</v>
      </c>
      <c r="K142" s="4">
        <f t="shared" si="13"/>
        <v>73.15</v>
      </c>
    </row>
    <row r="143" spans="1:11" ht="20.25" customHeight="1">
      <c r="A143" s="3">
        <v>141</v>
      </c>
      <c r="B143" s="8">
        <v>180069</v>
      </c>
      <c r="C143" s="9"/>
      <c r="D143" s="9" t="str">
        <f>"2018013126"</f>
        <v>2018013126</v>
      </c>
      <c r="E143" s="9">
        <v>36.5</v>
      </c>
      <c r="F143" s="9">
        <v>98</v>
      </c>
      <c r="G143" s="9">
        <f t="shared" si="15"/>
        <v>79.55</v>
      </c>
      <c r="H143" s="9" t="s">
        <v>10</v>
      </c>
      <c r="I143" s="4">
        <v>84.4</v>
      </c>
      <c r="J143" s="4">
        <f>ROUND(I143*74.85/76.58,2)</f>
        <v>82.49</v>
      </c>
      <c r="K143" s="4">
        <f t="shared" si="13"/>
        <v>72.77</v>
      </c>
    </row>
    <row r="144" spans="1:11" ht="20.25" customHeight="1">
      <c r="A144" s="3">
        <v>142</v>
      </c>
      <c r="B144" s="8">
        <v>180069</v>
      </c>
      <c r="C144" s="9"/>
      <c r="D144" s="9" t="str">
        <f>"2018013227"</f>
        <v>2018013227</v>
      </c>
      <c r="E144" s="9">
        <v>44.5</v>
      </c>
      <c r="F144" s="9">
        <v>96</v>
      </c>
      <c r="G144" s="9">
        <f t="shared" si="15"/>
        <v>80.54999999999998</v>
      </c>
      <c r="H144" s="9" t="s">
        <v>13</v>
      </c>
      <c r="I144" s="4">
        <v>80.2</v>
      </c>
      <c r="J144" s="4">
        <f>ROUND(I144*74.85/74.11,2)</f>
        <v>81</v>
      </c>
      <c r="K144" s="4">
        <f aca="true" t="shared" si="16" ref="K144:K161">ROUND(G144/1.2*0.6+J144*0.4,2)</f>
        <v>72.68</v>
      </c>
    </row>
    <row r="145" spans="1:11" ht="20.25" customHeight="1">
      <c r="A145" s="3">
        <v>143</v>
      </c>
      <c r="B145" s="8">
        <v>180069</v>
      </c>
      <c r="C145" s="9"/>
      <c r="D145" s="9" t="str">
        <f>"2018013125"</f>
        <v>2018013125</v>
      </c>
      <c r="E145" s="9">
        <v>55.5</v>
      </c>
      <c r="F145" s="9">
        <v>92</v>
      </c>
      <c r="G145" s="9">
        <f t="shared" si="15"/>
        <v>81.04999999999998</v>
      </c>
      <c r="H145" s="9" t="s">
        <v>9</v>
      </c>
      <c r="I145" s="4">
        <v>76.2</v>
      </c>
      <c r="J145" s="4">
        <f>ROUND(I145*74.85/71.05,2)</f>
        <v>80.28</v>
      </c>
      <c r="K145" s="4">
        <f t="shared" si="16"/>
        <v>72.64</v>
      </c>
    </row>
    <row r="146" spans="1:11" ht="20.25" customHeight="1">
      <c r="A146" s="3">
        <v>144</v>
      </c>
      <c r="B146" s="8">
        <v>180069</v>
      </c>
      <c r="C146" s="9"/>
      <c r="D146" s="9" t="str">
        <f>"2018012510"</f>
        <v>2018012510</v>
      </c>
      <c r="E146" s="9">
        <v>55.5</v>
      </c>
      <c r="F146" s="9">
        <v>94</v>
      </c>
      <c r="G146" s="9">
        <f t="shared" si="15"/>
        <v>82.44999999999999</v>
      </c>
      <c r="H146" s="9" t="s">
        <v>12</v>
      </c>
      <c r="I146" s="4">
        <v>81.1</v>
      </c>
      <c r="J146" s="4">
        <f>ROUND(I146*74.85/77.67,2)</f>
        <v>78.16</v>
      </c>
      <c r="K146" s="4">
        <f t="shared" si="16"/>
        <v>72.49</v>
      </c>
    </row>
    <row r="147" spans="1:11" ht="20.25" customHeight="1">
      <c r="A147" s="3">
        <v>145</v>
      </c>
      <c r="B147" s="8">
        <v>180069</v>
      </c>
      <c r="C147" s="9"/>
      <c r="D147" s="9" t="str">
        <f>"2018012521"</f>
        <v>2018012521</v>
      </c>
      <c r="E147" s="9">
        <v>44</v>
      </c>
      <c r="F147" s="9">
        <v>103</v>
      </c>
      <c r="G147" s="9">
        <f t="shared" si="15"/>
        <v>85.3</v>
      </c>
      <c r="H147" s="9" t="s">
        <v>9</v>
      </c>
      <c r="I147" s="4">
        <v>70.6</v>
      </c>
      <c r="J147" s="4">
        <f>ROUND(I147*74.85/71.05,2)</f>
        <v>74.38</v>
      </c>
      <c r="K147" s="4">
        <f t="shared" si="16"/>
        <v>72.4</v>
      </c>
    </row>
    <row r="148" spans="1:11" ht="20.25" customHeight="1">
      <c r="A148" s="3">
        <v>146</v>
      </c>
      <c r="B148" s="8">
        <v>180069</v>
      </c>
      <c r="C148" s="9"/>
      <c r="D148" s="9" t="str">
        <f>"2018013218"</f>
        <v>2018013218</v>
      </c>
      <c r="E148" s="9">
        <v>47.5</v>
      </c>
      <c r="F148" s="9">
        <v>97</v>
      </c>
      <c r="G148" s="9">
        <f t="shared" si="15"/>
        <v>82.14999999999999</v>
      </c>
      <c r="H148" s="9" t="s">
        <v>12</v>
      </c>
      <c r="I148" s="4">
        <v>81</v>
      </c>
      <c r="J148" s="4">
        <f>ROUND(I148*74.85/77.67,2)</f>
        <v>78.06</v>
      </c>
      <c r="K148" s="4">
        <f t="shared" si="16"/>
        <v>72.3</v>
      </c>
    </row>
    <row r="149" spans="1:11" ht="20.25" customHeight="1">
      <c r="A149" s="3">
        <v>147</v>
      </c>
      <c r="B149" s="8">
        <v>180069</v>
      </c>
      <c r="C149" s="9"/>
      <c r="D149" s="9" t="str">
        <f>"2018013026"</f>
        <v>2018013026</v>
      </c>
      <c r="E149" s="9">
        <v>48</v>
      </c>
      <c r="F149" s="9">
        <v>97</v>
      </c>
      <c r="G149" s="9">
        <f t="shared" si="15"/>
        <v>82.29999999999998</v>
      </c>
      <c r="H149" s="9" t="s">
        <v>10</v>
      </c>
      <c r="I149" s="4">
        <v>79.6</v>
      </c>
      <c r="J149" s="4">
        <f>ROUND(I149*74.85/76.58,2)</f>
        <v>77.8</v>
      </c>
      <c r="K149" s="4">
        <f t="shared" si="16"/>
        <v>72.27</v>
      </c>
    </row>
    <row r="150" spans="1:11" ht="20.25" customHeight="1">
      <c r="A150" s="3">
        <v>148</v>
      </c>
      <c r="B150" s="8">
        <v>180069</v>
      </c>
      <c r="C150" s="9"/>
      <c r="D150" s="9" t="str">
        <f>"2018012425"</f>
        <v>2018012425</v>
      </c>
      <c r="E150" s="9">
        <v>39</v>
      </c>
      <c r="F150" s="9">
        <v>98</v>
      </c>
      <c r="G150" s="9">
        <f t="shared" si="15"/>
        <v>80.3</v>
      </c>
      <c r="H150" s="9" t="s">
        <v>13</v>
      </c>
      <c r="I150" s="4">
        <v>79.4</v>
      </c>
      <c r="J150" s="4">
        <f>ROUND(I150*74.85/74.11,2)</f>
        <v>80.19</v>
      </c>
      <c r="K150" s="4">
        <f t="shared" si="16"/>
        <v>72.23</v>
      </c>
    </row>
    <row r="151" spans="1:11" ht="20.25" customHeight="1">
      <c r="A151" s="3">
        <v>149</v>
      </c>
      <c r="B151" s="8">
        <v>180069</v>
      </c>
      <c r="C151" s="9"/>
      <c r="D151" s="9" t="str">
        <f>"2018012809"</f>
        <v>2018012809</v>
      </c>
      <c r="E151" s="9">
        <v>60</v>
      </c>
      <c r="F151" s="9">
        <v>90</v>
      </c>
      <c r="G151" s="9">
        <f t="shared" si="15"/>
        <v>81</v>
      </c>
      <c r="H151" s="9" t="s">
        <v>12</v>
      </c>
      <c r="I151" s="4">
        <v>81.6</v>
      </c>
      <c r="J151" s="4">
        <f>ROUND(I151*74.85/77.67,2)</f>
        <v>78.64</v>
      </c>
      <c r="K151" s="4">
        <f t="shared" si="16"/>
        <v>71.96</v>
      </c>
    </row>
    <row r="152" spans="1:11" ht="20.25" customHeight="1">
      <c r="A152" s="3">
        <v>150</v>
      </c>
      <c r="B152" s="8">
        <v>180069</v>
      </c>
      <c r="C152" s="9"/>
      <c r="D152" s="9" t="str">
        <f>"2018012722"</f>
        <v>2018012722</v>
      </c>
      <c r="E152" s="9">
        <v>52.5</v>
      </c>
      <c r="F152" s="9">
        <v>93</v>
      </c>
      <c r="G152" s="9">
        <f t="shared" si="15"/>
        <v>80.85</v>
      </c>
      <c r="H152" s="9" t="s">
        <v>9</v>
      </c>
      <c r="I152" s="4">
        <v>74.4</v>
      </c>
      <c r="J152" s="4">
        <f>ROUND(I152*74.85/71.05,2)</f>
        <v>78.38</v>
      </c>
      <c r="K152" s="4">
        <f t="shared" si="16"/>
        <v>71.78</v>
      </c>
    </row>
    <row r="153" spans="1:11" ht="20.25" customHeight="1">
      <c r="A153" s="3">
        <v>151</v>
      </c>
      <c r="B153" s="8">
        <v>180069</v>
      </c>
      <c r="C153" s="9"/>
      <c r="D153" s="9" t="str">
        <f>"2018012605"</f>
        <v>2018012605</v>
      </c>
      <c r="E153" s="9">
        <v>52.5</v>
      </c>
      <c r="F153" s="9">
        <v>96</v>
      </c>
      <c r="G153" s="9">
        <f t="shared" si="15"/>
        <v>82.94999999999999</v>
      </c>
      <c r="H153" s="9" t="s">
        <v>13</v>
      </c>
      <c r="I153" s="4">
        <v>74.8</v>
      </c>
      <c r="J153" s="4">
        <f>ROUND(I153*74.85/74.11,2)</f>
        <v>75.55</v>
      </c>
      <c r="K153" s="4">
        <f t="shared" si="16"/>
        <v>71.7</v>
      </c>
    </row>
    <row r="154" spans="1:11" ht="20.25" customHeight="1">
      <c r="A154" s="3">
        <v>152</v>
      </c>
      <c r="B154" s="8">
        <v>180069</v>
      </c>
      <c r="C154" s="9"/>
      <c r="D154" s="9" t="str">
        <f>"2018012614"</f>
        <v>2018012614</v>
      </c>
      <c r="E154" s="9">
        <v>50.5</v>
      </c>
      <c r="F154" s="9">
        <v>90</v>
      </c>
      <c r="G154" s="9">
        <f t="shared" si="15"/>
        <v>78.14999999999999</v>
      </c>
      <c r="H154" s="9" t="s">
        <v>9</v>
      </c>
      <c r="I154" s="4">
        <v>77.4</v>
      </c>
      <c r="J154" s="4">
        <f>ROUND(I154*74.85/71.05,2)</f>
        <v>81.54</v>
      </c>
      <c r="K154" s="4">
        <f t="shared" si="16"/>
        <v>71.69</v>
      </c>
    </row>
    <row r="155" spans="1:11" ht="20.25" customHeight="1">
      <c r="A155" s="3">
        <v>153</v>
      </c>
      <c r="B155" s="8">
        <v>180069</v>
      </c>
      <c r="C155" s="9"/>
      <c r="D155" s="9" t="str">
        <f>"2018012801"</f>
        <v>2018012801</v>
      </c>
      <c r="E155" s="9">
        <v>54</v>
      </c>
      <c r="F155" s="9">
        <v>91</v>
      </c>
      <c r="G155" s="9">
        <f aca="true" t="shared" si="17" ref="G155:G161">E155*0.3+F155*0.7</f>
        <v>79.89999999999999</v>
      </c>
      <c r="H155" s="9" t="s">
        <v>9</v>
      </c>
      <c r="I155" s="4">
        <v>74.8</v>
      </c>
      <c r="J155" s="4">
        <f>ROUND(I155*74.85/71.05,2)</f>
        <v>78.8</v>
      </c>
      <c r="K155" s="4">
        <f t="shared" si="16"/>
        <v>71.47</v>
      </c>
    </row>
    <row r="156" spans="1:11" ht="20.25" customHeight="1">
      <c r="A156" s="3">
        <v>154</v>
      </c>
      <c r="B156" s="8">
        <v>180069</v>
      </c>
      <c r="C156" s="9"/>
      <c r="D156" s="9" t="str">
        <f>"2018012627"</f>
        <v>2018012627</v>
      </c>
      <c r="E156" s="9">
        <v>42</v>
      </c>
      <c r="F156" s="9">
        <v>97</v>
      </c>
      <c r="G156" s="9">
        <f t="shared" si="17"/>
        <v>80.49999999999999</v>
      </c>
      <c r="H156" s="9" t="s">
        <v>12</v>
      </c>
      <c r="I156" s="4">
        <v>80.8</v>
      </c>
      <c r="J156" s="4">
        <f>ROUND(I156*74.85/77.67,2)</f>
        <v>77.87</v>
      </c>
      <c r="K156" s="4">
        <f t="shared" si="16"/>
        <v>71.4</v>
      </c>
    </row>
    <row r="157" spans="1:11" ht="20.25" customHeight="1">
      <c r="A157" s="3">
        <v>155</v>
      </c>
      <c r="B157" s="8">
        <v>180069</v>
      </c>
      <c r="C157" s="9"/>
      <c r="D157" s="9" t="str">
        <f>"2018013114"</f>
        <v>2018013114</v>
      </c>
      <c r="E157" s="9">
        <v>35.5</v>
      </c>
      <c r="F157" s="9">
        <v>99</v>
      </c>
      <c r="G157" s="9">
        <f t="shared" si="17"/>
        <v>79.95</v>
      </c>
      <c r="H157" s="9" t="s">
        <v>12</v>
      </c>
      <c r="I157" s="4">
        <v>80.7</v>
      </c>
      <c r="J157" s="4">
        <f>ROUND(I157*74.85/77.67,2)</f>
        <v>77.77</v>
      </c>
      <c r="K157" s="4">
        <f t="shared" si="16"/>
        <v>71.08</v>
      </c>
    </row>
    <row r="158" spans="1:11" ht="20.25" customHeight="1">
      <c r="A158" s="3">
        <v>156</v>
      </c>
      <c r="B158" s="8">
        <v>180069</v>
      </c>
      <c r="C158" s="9"/>
      <c r="D158" s="9" t="str">
        <f>"2018012612"</f>
        <v>2018012612</v>
      </c>
      <c r="E158" s="9">
        <v>51</v>
      </c>
      <c r="F158" s="9">
        <v>94</v>
      </c>
      <c r="G158" s="9">
        <f t="shared" si="17"/>
        <v>81.1</v>
      </c>
      <c r="H158" s="9" t="s">
        <v>13</v>
      </c>
      <c r="I158" s="4">
        <v>75.4</v>
      </c>
      <c r="J158" s="4">
        <f>ROUND(I158*74.85/74.11,2)</f>
        <v>76.15</v>
      </c>
      <c r="K158" s="4">
        <f t="shared" si="16"/>
        <v>71.01</v>
      </c>
    </row>
    <row r="159" spans="1:11" ht="20.25" customHeight="1">
      <c r="A159" s="3">
        <v>157</v>
      </c>
      <c r="B159" s="8">
        <v>180069</v>
      </c>
      <c r="C159" s="9"/>
      <c r="D159" s="9" t="str">
        <f>"2018012522"</f>
        <v>2018012522</v>
      </c>
      <c r="E159" s="9">
        <v>29.5</v>
      </c>
      <c r="F159" s="9">
        <v>102</v>
      </c>
      <c r="G159" s="9">
        <f t="shared" si="17"/>
        <v>80.24999999999999</v>
      </c>
      <c r="H159" s="9" t="s">
        <v>13</v>
      </c>
      <c r="I159" s="4">
        <v>76.4</v>
      </c>
      <c r="J159" s="4">
        <f>ROUND(I159*74.85/74.11,2)</f>
        <v>77.16</v>
      </c>
      <c r="K159" s="4">
        <f t="shared" si="16"/>
        <v>70.99</v>
      </c>
    </row>
    <row r="160" spans="1:11" ht="20.25" customHeight="1">
      <c r="A160" s="3">
        <v>158</v>
      </c>
      <c r="B160" s="8">
        <v>180069</v>
      </c>
      <c r="C160" s="9"/>
      <c r="D160" s="9" t="str">
        <f>"2018012508"</f>
        <v>2018012508</v>
      </c>
      <c r="E160" s="9">
        <v>50</v>
      </c>
      <c r="F160" s="9">
        <v>92</v>
      </c>
      <c r="G160" s="9">
        <f t="shared" si="17"/>
        <v>79.39999999999999</v>
      </c>
      <c r="H160" s="9" t="s">
        <v>10</v>
      </c>
      <c r="I160" s="4">
        <v>80</v>
      </c>
      <c r="J160" s="4">
        <f>ROUND(I160*74.85/76.58,2)</f>
        <v>78.19</v>
      </c>
      <c r="K160" s="4">
        <f t="shared" si="16"/>
        <v>70.98</v>
      </c>
    </row>
    <row r="161" spans="1:11" ht="20.25" customHeight="1">
      <c r="A161" s="3">
        <v>159</v>
      </c>
      <c r="B161" s="8">
        <v>180070</v>
      </c>
      <c r="C161" s="9"/>
      <c r="D161" s="9" t="str">
        <f>"2018013827"</f>
        <v>2018013827</v>
      </c>
      <c r="E161" s="9">
        <v>29</v>
      </c>
      <c r="F161" s="9">
        <v>85</v>
      </c>
      <c r="G161" s="9">
        <f t="shared" si="17"/>
        <v>68.19999999999999</v>
      </c>
      <c r="H161" s="9"/>
      <c r="I161" s="4">
        <v>75</v>
      </c>
      <c r="J161" s="4">
        <f>I161</f>
        <v>75</v>
      </c>
      <c r="K161" s="4">
        <f t="shared" si="16"/>
        <v>64.1</v>
      </c>
    </row>
    <row r="162" spans="1:11" ht="20.25" customHeight="1">
      <c r="A162" s="3">
        <v>160</v>
      </c>
      <c r="B162" s="8">
        <v>180071</v>
      </c>
      <c r="C162" s="9"/>
      <c r="D162" s="9" t="str">
        <f>"2018014003"</f>
        <v>2018014003</v>
      </c>
      <c r="E162" s="9">
        <v>48</v>
      </c>
      <c r="F162" s="9">
        <v>97</v>
      </c>
      <c r="G162" s="9">
        <f aca="true" t="shared" si="18" ref="G162:G167">E162*0.3+F162*0.7</f>
        <v>82.29999999999998</v>
      </c>
      <c r="H162" s="9"/>
      <c r="I162" s="4">
        <v>79.6</v>
      </c>
      <c r="J162" s="4">
        <f aca="true" t="shared" si="19" ref="J162:J167">I162</f>
        <v>79.6</v>
      </c>
      <c r="K162" s="4">
        <f aca="true" t="shared" si="20" ref="K162:K167">ROUND(G162/1.2*0.6+J162*0.4,2)</f>
        <v>72.99</v>
      </c>
    </row>
    <row r="163" spans="1:11" ht="20.25" customHeight="1">
      <c r="A163" s="3">
        <v>161</v>
      </c>
      <c r="B163" s="8">
        <v>180071</v>
      </c>
      <c r="C163" s="9"/>
      <c r="D163" s="9" t="str">
        <f>"2018013526"</f>
        <v>2018013526</v>
      </c>
      <c r="E163" s="9">
        <v>66.5</v>
      </c>
      <c r="F163" s="9">
        <v>79</v>
      </c>
      <c r="G163" s="9">
        <f t="shared" si="18"/>
        <v>75.25</v>
      </c>
      <c r="H163" s="9"/>
      <c r="I163" s="4">
        <v>86</v>
      </c>
      <c r="J163" s="4">
        <f t="shared" si="19"/>
        <v>86</v>
      </c>
      <c r="K163" s="4">
        <f t="shared" si="20"/>
        <v>72.03</v>
      </c>
    </row>
    <row r="164" spans="1:11" ht="20.25" customHeight="1">
      <c r="A164" s="3">
        <v>162</v>
      </c>
      <c r="B164" s="8">
        <v>180071</v>
      </c>
      <c r="C164" s="9"/>
      <c r="D164" s="9" t="str">
        <f>"2018014002"</f>
        <v>2018014002</v>
      </c>
      <c r="E164" s="9">
        <v>41.5</v>
      </c>
      <c r="F164" s="9">
        <v>93</v>
      </c>
      <c r="G164" s="9">
        <f t="shared" si="18"/>
        <v>77.55</v>
      </c>
      <c r="H164" s="9"/>
      <c r="I164" s="4">
        <v>80.6</v>
      </c>
      <c r="J164" s="4">
        <f t="shared" si="19"/>
        <v>80.6</v>
      </c>
      <c r="K164" s="4">
        <f t="shared" si="20"/>
        <v>71.02</v>
      </c>
    </row>
    <row r="165" spans="1:11" ht="20.25" customHeight="1">
      <c r="A165" s="3">
        <v>163</v>
      </c>
      <c r="B165" s="8">
        <v>180071</v>
      </c>
      <c r="C165" s="9"/>
      <c r="D165" s="9" t="str">
        <f>"2018014001"</f>
        <v>2018014001</v>
      </c>
      <c r="E165" s="9">
        <v>46.5</v>
      </c>
      <c r="F165" s="9">
        <v>90</v>
      </c>
      <c r="G165" s="9">
        <f t="shared" si="18"/>
        <v>76.94999999999999</v>
      </c>
      <c r="H165" s="9"/>
      <c r="I165" s="4">
        <v>80.6</v>
      </c>
      <c r="J165" s="4">
        <f t="shared" si="19"/>
        <v>80.6</v>
      </c>
      <c r="K165" s="4">
        <f t="shared" si="20"/>
        <v>70.72</v>
      </c>
    </row>
    <row r="166" spans="1:11" ht="20.25" customHeight="1">
      <c r="A166" s="3">
        <v>164</v>
      </c>
      <c r="B166" s="3">
        <v>180072</v>
      </c>
      <c r="C166" s="9"/>
      <c r="D166" s="9" t="str">
        <f>"2018014025"</f>
        <v>2018014025</v>
      </c>
      <c r="E166" s="9">
        <v>56.5</v>
      </c>
      <c r="F166" s="9">
        <v>65</v>
      </c>
      <c r="G166" s="9">
        <f t="shared" si="18"/>
        <v>62.45</v>
      </c>
      <c r="H166" s="9"/>
      <c r="I166" s="4">
        <v>78</v>
      </c>
      <c r="J166" s="4">
        <f t="shared" si="19"/>
        <v>78</v>
      </c>
      <c r="K166" s="4">
        <f t="shared" si="20"/>
        <v>62.43</v>
      </c>
    </row>
    <row r="167" spans="1:11" ht="14.25">
      <c r="A167" s="3">
        <v>165</v>
      </c>
      <c r="B167" s="8">
        <v>180074</v>
      </c>
      <c r="C167" s="9"/>
      <c r="D167" s="9" t="str">
        <f>"2018014029"</f>
        <v>2018014029</v>
      </c>
      <c r="E167" s="9">
        <v>63</v>
      </c>
      <c r="F167" s="9">
        <v>61</v>
      </c>
      <c r="G167" s="9">
        <f t="shared" si="18"/>
        <v>61.599999999999994</v>
      </c>
      <c r="H167" s="9"/>
      <c r="I167" s="4">
        <v>79.4</v>
      </c>
      <c r="J167" s="4">
        <f t="shared" si="19"/>
        <v>79.4</v>
      </c>
      <c r="K167" s="4">
        <f t="shared" si="20"/>
        <v>62.56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2018-05-10T03:18:34Z</cp:lastPrinted>
  <dcterms:created xsi:type="dcterms:W3CDTF">2018-03-26T06:28:53Z</dcterms:created>
  <dcterms:modified xsi:type="dcterms:W3CDTF">2018-05-22T07:37:24Z</dcterms:modified>
  <cp:category/>
  <cp:version/>
  <cp:contentType/>
  <cp:contentStatus/>
</cp:coreProperties>
</file>